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Settings" sheetId="2" state="visible" r:id="rId2"/>
    <sheet xmlns:r="http://schemas.openxmlformats.org/officeDocument/2006/relationships" name="ASINs" sheetId="3" state="visible" r:id="rId3"/>
    <sheet xmlns:r="http://schemas.openxmlformats.org/officeDocument/2006/relationships" name="League table" sheetId="4" state="visible" r:id="rId4"/>
  </sheets>
  <definedNames/>
  <calcPr calcId="124519" fullCalcOnLoad="1"/>
</workbook>
</file>

<file path=xl/styles.xml><?xml version="1.0" encoding="utf-8"?>
<styleSheet xmlns="http://schemas.openxmlformats.org/spreadsheetml/2006/main">
  <numFmts count="3">
    <numFmt numFmtId="164" formatCode="0.0%"/>
    <numFmt numFmtId="165" formatCode="£#,##0.00"/>
    <numFmt numFmtId="166" formatCode="£#,##0"/>
  </numFmts>
  <fonts count="10">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25">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164" fontId="8" fillId="3" borderId="1" pivotButton="0" quotePrefix="0" xfId="0"/>
    <xf numFmtId="0" fontId="3" fillId="0" borderId="0" applyAlignment="1" pivotButton="0" quotePrefix="0" xfId="0">
      <alignment vertical="center" wrapText="1"/>
    </xf>
    <xf numFmtId="0" fontId="9" fillId="0" borderId="0" pivotButton="0" quotePrefix="0" xfId="0"/>
    <xf numFmtId="0" fontId="6" fillId="2" borderId="0" applyAlignment="1" pivotButton="0" quotePrefix="0" xfId="0">
      <alignment vertical="center" wrapText="1"/>
    </xf>
    <xf numFmtId="0" fontId="7" fillId="3" borderId="1" pivotButton="0" quotePrefix="0" xfId="0"/>
    <xf numFmtId="165" fontId="7" fillId="3" borderId="1" pivotButton="0" quotePrefix="0" xfId="0"/>
    <xf numFmtId="164" fontId="7" fillId="3" borderId="1" pivotButton="0" quotePrefix="0" xfId="0"/>
    <xf numFmtId="3" fontId="7" fillId="3" borderId="1" pivotButton="0" quotePrefix="0" xfId="0"/>
    <xf numFmtId="166" fontId="7" fillId="3" borderId="1" pivotButton="0" quotePrefix="0" xfId="0"/>
    <xf numFmtId="165" fontId="7" fillId="4" borderId="1" pivotButton="0" quotePrefix="0" xfId="0"/>
    <xf numFmtId="164" fontId="7" fillId="4" borderId="1" pivotButton="0" quotePrefix="0" xfId="0"/>
    <xf numFmtId="166" fontId="7" fillId="4" borderId="1" pivotButton="0" quotePrefix="0" xfId="0"/>
    <xf numFmtId="3" fontId="8" fillId="4" borderId="1" pivotButton="0" quotePrefix="0" xfId="0"/>
    <xf numFmtId="0" fontId="7" fillId="4" borderId="1" pivotButton="0" quotePrefix="0" xfId="0"/>
    <xf numFmtId="166" fontId="8" fillId="4" borderId="1" pivotButton="0" quotePrefix="0" xfId="0"/>
    <xf numFmtId="164" fontId="8" fillId="4" borderId="1" pivotButton="0" quotePrefix="0" xfId="0"/>
  </cellXfs>
  <cellStyles count="1">
    <cellStyle name="Normal" xfId="0" builtinId="0" hidden="0"/>
  </cellStyles>
  <dxfs count="2">
    <dxf>
      <fill>
        <patternFill patternType="solid">
          <fgColor rgb="00FAE9EB"/>
        </patternFill>
      </fill>
    </dxf>
    <dxf>
      <fill>
        <patternFill patternType="solid">
          <fgColor rgb="00E6F2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6"/>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ASIN Margin Tracker</t>
        </is>
      </c>
    </row>
    <row r="3">
      <c r="A3" s="3" t="inlineStr">
        <is>
          <t>Contribution per product after every Amazon deduction, ranked.</t>
        </is>
      </c>
    </row>
    <row r="5">
      <c r="B5" s="4" t="inlineStr">
        <is>
          <t>The column Amazon never puts next to the other one</t>
        </is>
      </c>
    </row>
    <row r="6" ht="60" customHeight="1">
      <c r="B6" s="5" t="inlineStr">
        <is>
          <t>Seller Central will tell you what each ASIN sold. It will not tell you what each ASIN left you. Put revenue share and contribution share side by side and the catalogue usually splits into three groups: a few products carrying everything, a long middle that roughly pays for itself, and one or two that are quietly funded by the rest.</t>
        </is>
      </c>
    </row>
    <row r="8">
      <c r="B8" s="4" t="inlineStr">
        <is>
          <t>What counts as a cost here</t>
        </is>
      </c>
    </row>
    <row r="9" ht="60" customHeight="1">
      <c r="B9" s="5" t="inlineStr">
        <is>
          <t>Everything that moves with a sale: the goods at landed cost, the referral fee, the FBA fee, the digital services fee, a month of storage, and advertising. Overheads are deliberately out, because spreading them across products tells you nothing you can act on and hides which products are worth keeping.</t>
        </is>
      </c>
    </row>
    <row r="11" ht="45" customHeight="1">
      <c r="B11" s="5" t="inlineStr">
        <is>
          <t>Storage is charged here at one month per unit sold, which is conservative. If a product sits for three months before it sells, its real storage cost is roughly half that cover, and the storage estimator works it out properly.</t>
        </is>
      </c>
    </row>
    <row r="13">
      <c r="B13" s="4" t="inlineStr">
        <is>
          <t>How to read the league table</t>
        </is>
      </c>
    </row>
    <row r="14" ht="15" customHeight="1">
      <c r="B14" s="5" t="inlineStr">
        <is>
          <t>1.  Contribution per unit: what one sale leaves before advertising.</t>
        </is>
      </c>
    </row>
    <row r="16" ht="30" customHeight="1">
      <c r="B16" s="5" t="inlineStr">
        <is>
          <t>2.  Break-even ACoS: what you can afford to spend advertising it. Contribution divided by price, nothing more.</t>
        </is>
      </c>
    </row>
    <row r="18" ht="15" customHeight="1">
      <c r="B18" s="5" t="inlineStr">
        <is>
          <t>3.  Actual ACoS: what you are spending. Ad spend divided by the sales that product made.</t>
        </is>
      </c>
    </row>
    <row r="20" ht="30" customHeight="1">
      <c r="B20" s="5" t="inlineStr">
        <is>
          <t>4.  Monthly profit: the two multiplied out by volume. This is the column that decides what to do, because a thin margin on high volume can still be worth more than a fat one on none.</t>
        </is>
      </c>
    </row>
    <row r="22">
      <c r="B22" s="4" t="inlineStr">
        <is>
          <t>What to do with it</t>
        </is>
      </c>
    </row>
    <row r="23" ht="45" customHeight="1">
      <c r="B23" s="5" t="inlineStr">
        <is>
          <t>A product with negative monthly profit has three exits: raise the price, cut the advertising to what it can carry, or stop selling it. Doing nothing is a fourth option and it is the one most catalogues pick.</t>
        </is>
      </c>
    </row>
    <row r="25">
      <c r="B25" s="4" t="inlineStr">
        <is>
          <t>General information</t>
        </is>
      </c>
    </row>
    <row r="26" ht="45" customHeight="1">
      <c r="B26" s="5" t="inlineStr">
        <is>
          <t>Rates are those applying in 2026/27 for the UK. Amazon changes its fee schedule regularly, so check the referral percentage and fulfilment fee for your own categories in Seller Central.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9"/>
  <sheetViews>
    <sheetView showGridLines="0" workbookViewId="0">
      <selection activeCell="A1" sqref="A1"/>
    </sheetView>
  </sheetViews>
  <sheetFormatPr baseColWidth="8" defaultRowHeight="15"/>
  <cols>
    <col width="34" customWidth="1" min="1" max="1"/>
    <col width="14" customWidth="1" min="2" max="2"/>
    <col width="62" customWidth="1" min="3" max="3"/>
  </cols>
  <sheetData>
    <row r="1">
      <c r="A1" s="1" t="inlineStr">
        <is>
          <t>ZAZEN TAX</t>
        </is>
      </c>
    </row>
    <row r="2">
      <c r="A2" s="2" t="inlineStr">
        <is>
          <t>Two rates, used by every row</t>
        </is>
      </c>
    </row>
    <row r="5" ht="19" customHeight="1">
      <c r="A5" s="6" t="inlineStr">
        <is>
          <t xml:space="preserve">  Shared across the catalogue</t>
        </is>
      </c>
      <c r="B5" s="7" t="n"/>
      <c r="C5" s="7" t="n"/>
    </row>
    <row r="6">
      <c r="A6" s="8" t="inlineStr">
        <is>
          <t>VAT rate</t>
        </is>
      </c>
      <c r="B6" s="9" t="n">
        <v>0.2</v>
      </c>
      <c r="C6" s="10" t="inlineStr">
        <is>
          <t>20% if registered, 0% if not. Amazon charges its referral fee on the full price either way.</t>
        </is>
      </c>
    </row>
    <row r="7">
      <c r="A7" s="8" t="inlineStr">
        <is>
          <t>Digital services fee</t>
        </is>
      </c>
      <c r="B7" s="9" t="n">
        <v>0.02</v>
      </c>
      <c r="C7" s="10" t="inlineStr">
        <is>
          <t>Charged on your Amazon fees rather than on the sale.</t>
        </is>
      </c>
    </row>
    <row r="9">
      <c r="A9" s="11" t="inlineStr">
        <is>
          <t>Everything else is per product, on the ASINs sheet.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R19"/>
  <sheetViews>
    <sheetView showGridLines="0" workbookViewId="0">
      <pane xSplit="1" ySplit="6" topLeftCell="B7" activePane="bottomRight" state="frozen"/>
      <selection pane="topRight"/>
      <selection pane="bottomLeft"/>
      <selection pane="bottomRight" activeCell="A1" sqref="A1"/>
    </sheetView>
  </sheetViews>
  <sheetFormatPr baseColWidth="8" defaultRowHeight="15"/>
  <cols>
    <col width="20" customWidth="1" min="1" max="1"/>
    <col width="11" customWidth="1" min="2" max="2"/>
    <col width="10" customWidth="1" min="3" max="3"/>
    <col width="10" customWidth="1" min="4" max="4"/>
    <col width="10" customWidth="1" min="5" max="5"/>
    <col width="10" customWidth="1" min="6" max="6"/>
    <col width="9" customWidth="1" min="7" max="7"/>
    <col width="12" customWidth="1" min="8" max="8"/>
    <col width="13" customWidth="1" min="9" max="9"/>
    <col width="12" customWidth="1" min="10" max="10"/>
    <col width="9" customWidth="1" min="11" max="11"/>
    <col width="13" customWidth="1" min="12" max="12"/>
    <col width="11" customWidth="1" min="13" max="13"/>
    <col width="12" customWidth="1" min="14" max="14"/>
    <col width="13" customWidth="1" min="15" max="15"/>
    <col width="14" customWidth="1" min="16" max="16"/>
    <col width="13" customWidth="1" min="17" max="17"/>
    <col width="10" customWidth="1" min="18" max="18"/>
  </cols>
  <sheetData>
    <row r="1">
      <c r="A1" s="1" t="inlineStr">
        <is>
          <t>ZAZEN TAX</t>
        </is>
      </c>
    </row>
    <row r="2">
      <c r="A2" s="2" t="inlineStr">
        <is>
          <t>Your catalogue</t>
        </is>
      </c>
    </row>
    <row r="5">
      <c r="A5" s="3" t="inlineStr">
        <is>
          <t>Yellow is yours, grey is worked out. VAT and the digital services fee come from the Settings sheet.</t>
        </is>
      </c>
    </row>
    <row r="6" ht="28" customHeight="1">
      <c r="A6" s="12" t="inlineStr">
        <is>
          <t>Product</t>
        </is>
      </c>
      <c r="B6" s="12" t="inlineStr">
        <is>
          <t>Price inc VAT</t>
        </is>
      </c>
      <c r="C6" s="12" t="inlineStr">
        <is>
          <t>Landed</t>
        </is>
      </c>
      <c r="D6" s="12" t="inlineStr">
        <is>
          <t>Referral</t>
        </is>
      </c>
      <c r="E6" s="12" t="inlineStr">
        <is>
          <t>FBA fee</t>
        </is>
      </c>
      <c r="F6" s="12" t="inlineStr">
        <is>
          <t>Storage</t>
        </is>
      </c>
      <c r="G6" s="12" t="inlineStr">
        <is>
          <t>Other</t>
        </is>
      </c>
      <c r="H6" s="12" t="inlineStr">
        <is>
          <t>Units a month</t>
        </is>
      </c>
      <c r="I6" s="12" t="inlineStr">
        <is>
          <t>Ad spend a month</t>
        </is>
      </c>
      <c r="J6" s="12" t="inlineStr">
        <is>
          <t>Contribution</t>
        </is>
      </c>
      <c r="K6" s="12" t="inlineStr">
        <is>
          <t>Margin</t>
        </is>
      </c>
      <c r="L6" s="12" t="inlineStr">
        <is>
          <t>Break-even ACoS</t>
        </is>
      </c>
      <c r="M6" s="12" t="inlineStr">
        <is>
          <t>Actual ACoS</t>
        </is>
      </c>
      <c r="N6" s="12" t="inlineStr">
        <is>
          <t>Profit a unit</t>
        </is>
      </c>
      <c r="O6" s="12" t="inlineStr">
        <is>
          <t>Revenue a month</t>
        </is>
      </c>
      <c r="P6" s="12" t="inlineStr">
        <is>
          <t>Contribution a month</t>
        </is>
      </c>
      <c r="Q6" s="12" t="inlineStr">
        <is>
          <t>Profit a month</t>
        </is>
      </c>
      <c r="R6" s="12" t="inlineStr">
        <is>
          <t>Rank key</t>
        </is>
      </c>
    </row>
    <row r="8">
      <c r="A8" s="13" t="inlineStr">
        <is>
          <t>Fluffy Jacket</t>
        </is>
      </c>
      <c r="B8" s="14" t="n">
        <v>24.99</v>
      </c>
      <c r="C8" s="14" t="n">
        <v>8.52</v>
      </c>
      <c r="D8" s="15" t="n">
        <v>0.15</v>
      </c>
      <c r="E8" s="14" t="n">
        <v>3.05</v>
      </c>
      <c r="F8" s="14" t="n">
        <v>0.18</v>
      </c>
      <c r="G8" s="14" t="n">
        <v>0.35</v>
      </c>
      <c r="H8" s="16" t="n">
        <v>400</v>
      </c>
      <c r="I8" s="17" t="n">
        <v>2100</v>
      </c>
      <c r="J8" s="18">
        <f>IF($B8="","",IFERROR($B8/(1+Settings!$B$6),0)-$C8-(MAX($B8*$D8,0.25))-$E8-((MAX($B8*$D8,0.25)+$E8)*Settings!$B$7)-$F8-$G8)</f>
        <v/>
      </c>
      <c r="K8" s="19">
        <f>IF($B8="","",IFERROR((IFERROR($B8/(1+Settings!$B$6),0)-$C8-(MAX($B8*$D8,0.25))-$E8-((MAX($B8*$D8,0.25)+$E8)*Settings!$B$7)-$F8-$G8)/$B8,""))</f>
        <v/>
      </c>
      <c r="L8" s="19">
        <f>IF($B8="","",IFERROR((IFERROR($B8/(1+Settings!$B$6),0)-$C8-(MAX($B8*$D8,0.25))-$E8-((MAX($B8*$D8,0.25)+$E8)*Settings!$B$7)-$F8-$G8)/$B8,""))</f>
        <v/>
      </c>
      <c r="M8" s="19">
        <f>IF($B8="","",IFERROR($I8/($B8*$H8),""))</f>
        <v/>
      </c>
      <c r="N8" s="18">
        <f>IF($B8="","",(IFERROR($B8/(1+Settings!$B$6),0)-$C8-(MAX($B8*$D8,0.25))-$E8-((MAX($B8*$D8,0.25)+$E8)*Settings!$B$7)-$F8-$G8)-IFERROR($I8/$H8,0))</f>
        <v/>
      </c>
      <c r="O8" s="20">
        <f>IF($B8="","",$B8*$H8)</f>
        <v/>
      </c>
      <c r="P8" s="20">
        <f>IF($B8="","",(IFERROR($B8/(1+Settings!$B$6),0)-$C8-(MAX($B8*$D8,0.25))-$E8-((MAX($B8*$D8,0.25)+$E8)*Settings!$B$7)-$F8-$G8)*$H8)</f>
        <v/>
      </c>
      <c r="Q8" s="20">
        <f>IF($B8="","",(IFERROR($B8/(1+Settings!$B$6),0)-$C8-(MAX($B8*$D8,0.25))-$E8-((MAX($B8*$D8,0.25)+$E8)*Settings!$B$7)-$F8-$G8)*$H8-$I8)</f>
        <v/>
      </c>
      <c r="R8" s="18">
        <f>IF($B8="","",(IFERROR($B8/(1+Settings!$B$6),0)-$C8-(MAX($B8*$D8,0.25))-$E8-((MAX($B8*$D8,0.25)+$E8)*Settings!$B$7)-$F8-$G8)*$H8-$I8+ROW()/1000000)</f>
        <v/>
      </c>
    </row>
    <row r="9">
      <c r="A9" s="13" t="inlineStr">
        <is>
          <t>Fluffy Socks</t>
        </is>
      </c>
      <c r="B9" s="14" t="n">
        <v>9.99</v>
      </c>
      <c r="C9" s="14" t="n">
        <v>2.1</v>
      </c>
      <c r="D9" s="15" t="n">
        <v>0.15</v>
      </c>
      <c r="E9" s="14" t="n">
        <v>2.35</v>
      </c>
      <c r="F9" s="14" t="n">
        <v>0.07000000000000001</v>
      </c>
      <c r="G9" s="14" t="n">
        <v>0.2</v>
      </c>
      <c r="H9" s="16" t="n">
        <v>620</v>
      </c>
      <c r="I9" s="17" t="n">
        <v>1000</v>
      </c>
      <c r="J9" s="18">
        <f>IF($B9="","",IFERROR($B9/(1+Settings!$B$6),0)-$C9-(MAX($B9*$D9,0.25))-$E9-((MAX($B9*$D9,0.25)+$E9)*Settings!$B$7)-$F9-$G9)</f>
        <v/>
      </c>
      <c r="K9" s="19">
        <f>IF($B9="","",IFERROR((IFERROR($B9/(1+Settings!$B$6),0)-$C9-(MAX($B9*$D9,0.25))-$E9-((MAX($B9*$D9,0.25)+$E9)*Settings!$B$7)-$F9-$G9)/$B9,""))</f>
        <v/>
      </c>
      <c r="L9" s="19">
        <f>IF($B9="","",IFERROR((IFERROR($B9/(1+Settings!$B$6),0)-$C9-(MAX($B9*$D9,0.25))-$E9-((MAX($B9*$D9,0.25)+$E9)*Settings!$B$7)-$F9-$G9)/$B9,""))</f>
        <v/>
      </c>
      <c r="M9" s="19">
        <f>IF($B9="","",IFERROR($I9/($B9*$H9),""))</f>
        <v/>
      </c>
      <c r="N9" s="18">
        <f>IF($B9="","",(IFERROR($B9/(1+Settings!$B$6),0)-$C9-(MAX($B9*$D9,0.25))-$E9-((MAX($B9*$D9,0.25)+$E9)*Settings!$B$7)-$F9-$G9)-IFERROR($I9/$H9,0))</f>
        <v/>
      </c>
      <c r="O9" s="20">
        <f>IF($B9="","",$B9*$H9)</f>
        <v/>
      </c>
      <c r="P9" s="20">
        <f>IF($B9="","",(IFERROR($B9/(1+Settings!$B$6),0)-$C9-(MAX($B9*$D9,0.25))-$E9-((MAX($B9*$D9,0.25)+$E9)*Settings!$B$7)-$F9-$G9)*$H9)</f>
        <v/>
      </c>
      <c r="Q9" s="20">
        <f>IF($B9="","",(IFERROR($B9/(1+Settings!$B$6),0)-$C9-(MAX($B9*$D9,0.25))-$E9-((MAX($B9*$D9,0.25)+$E9)*Settings!$B$7)-$F9-$G9)*$H9-$I9)</f>
        <v/>
      </c>
      <c r="R9" s="18">
        <f>IF($B9="","",(IFERROR($B9/(1+Settings!$B$6),0)-$C9-(MAX($B9*$D9,0.25))-$E9-((MAX($B9*$D9,0.25)+$E9)*Settings!$B$7)-$F9-$G9)*$H9-$I9+ROW()/1000000)</f>
        <v/>
      </c>
    </row>
    <row r="10">
      <c r="A10" s="13" t="inlineStr">
        <is>
          <t>Puffy Toy</t>
        </is>
      </c>
      <c r="B10" s="14" t="n">
        <v>17.5</v>
      </c>
      <c r="C10" s="14" t="n">
        <v>5.4</v>
      </c>
      <c r="D10" s="15" t="n">
        <v>0.15</v>
      </c>
      <c r="E10" s="14" t="n">
        <v>2.85</v>
      </c>
      <c r="F10" s="14" t="n">
        <v>0.12</v>
      </c>
      <c r="G10" s="14" t="n">
        <v>0.3</v>
      </c>
      <c r="H10" s="16" t="n">
        <v>310</v>
      </c>
      <c r="I10" s="17" t="n">
        <v>760</v>
      </c>
      <c r="J10" s="18">
        <f>IF($B10="","",IFERROR($B10/(1+Settings!$B$6),0)-$C10-(MAX($B10*$D10,0.25))-$E10-((MAX($B10*$D10,0.25)+$E10)*Settings!$B$7)-$F10-$G10)</f>
        <v/>
      </c>
      <c r="K10" s="19">
        <f>IF($B10="","",IFERROR((IFERROR($B10/(1+Settings!$B$6),0)-$C10-(MAX($B10*$D10,0.25))-$E10-((MAX($B10*$D10,0.25)+$E10)*Settings!$B$7)-$F10-$G10)/$B10,""))</f>
        <v/>
      </c>
      <c r="L10" s="19">
        <f>IF($B10="","",IFERROR((IFERROR($B10/(1+Settings!$B$6),0)-$C10-(MAX($B10*$D10,0.25))-$E10-((MAX($B10*$D10,0.25)+$E10)*Settings!$B$7)-$F10-$G10)/$B10,""))</f>
        <v/>
      </c>
      <c r="M10" s="19">
        <f>IF($B10="","",IFERROR($I10/($B10*$H10),""))</f>
        <v/>
      </c>
      <c r="N10" s="18">
        <f>IF($B10="","",(IFERROR($B10/(1+Settings!$B$6),0)-$C10-(MAX($B10*$D10,0.25))-$E10-((MAX($B10*$D10,0.25)+$E10)*Settings!$B$7)-$F10-$G10)-IFERROR($I10/$H10,0))</f>
        <v/>
      </c>
      <c r="O10" s="20">
        <f>IF($B10="","",$B10*$H10)</f>
        <v/>
      </c>
      <c r="P10" s="20">
        <f>IF($B10="","",(IFERROR($B10/(1+Settings!$B$6),0)-$C10-(MAX($B10*$D10,0.25))-$E10-((MAX($B10*$D10,0.25)+$E10)*Settings!$B$7)-$F10-$G10)*$H10)</f>
        <v/>
      </c>
      <c r="Q10" s="20">
        <f>IF($B10="","",(IFERROR($B10/(1+Settings!$B$6),0)-$C10-(MAX($B10*$D10,0.25))-$E10-((MAX($B10*$D10,0.25)+$E10)*Settings!$B$7)-$F10-$G10)*$H10-$I10)</f>
        <v/>
      </c>
      <c r="R10" s="18">
        <f>IF($B10="","",(IFERROR($B10/(1+Settings!$B$6),0)-$C10-(MAX($B10*$D10,0.25))-$E10-((MAX($B10*$D10,0.25)+$E10)*Settings!$B$7)-$F10-$G10)*$H10-$I10+ROW()/1000000)</f>
        <v/>
      </c>
    </row>
    <row r="11">
      <c r="A11" s="13" t="inlineStr">
        <is>
          <t>Teddy Bear</t>
        </is>
      </c>
      <c r="B11" s="14" t="n">
        <v>32</v>
      </c>
      <c r="C11" s="14" t="n">
        <v>9.800000000000001</v>
      </c>
      <c r="D11" s="15" t="n">
        <v>0.15</v>
      </c>
      <c r="E11" s="14" t="n">
        <v>3.6</v>
      </c>
      <c r="F11" s="14" t="n">
        <v>0.26</v>
      </c>
      <c r="G11" s="14" t="n">
        <v>0.4</v>
      </c>
      <c r="H11" s="16" t="n">
        <v>180</v>
      </c>
      <c r="I11" s="17" t="n">
        <v>1094</v>
      </c>
      <c r="J11" s="18">
        <f>IF($B11="","",IFERROR($B11/(1+Settings!$B$6),0)-$C11-(MAX($B11*$D11,0.25))-$E11-((MAX($B11*$D11,0.25)+$E11)*Settings!$B$7)-$F11-$G11)</f>
        <v/>
      </c>
      <c r="K11" s="19">
        <f>IF($B11="","",IFERROR((IFERROR($B11/(1+Settings!$B$6),0)-$C11-(MAX($B11*$D11,0.25))-$E11-((MAX($B11*$D11,0.25)+$E11)*Settings!$B$7)-$F11-$G11)/$B11,""))</f>
        <v/>
      </c>
      <c r="L11" s="19">
        <f>IF($B11="","",IFERROR((IFERROR($B11/(1+Settings!$B$6),0)-$C11-(MAX($B11*$D11,0.25))-$E11-((MAX($B11*$D11,0.25)+$E11)*Settings!$B$7)-$F11-$G11)/$B11,""))</f>
        <v/>
      </c>
      <c r="M11" s="19">
        <f>IF($B11="","",IFERROR($I11/($B11*$H11),""))</f>
        <v/>
      </c>
      <c r="N11" s="18">
        <f>IF($B11="","",(IFERROR($B11/(1+Settings!$B$6),0)-$C11-(MAX($B11*$D11,0.25))-$E11-((MAX($B11*$D11,0.25)+$E11)*Settings!$B$7)-$F11-$G11)-IFERROR($I11/$H11,0))</f>
        <v/>
      </c>
      <c r="O11" s="20">
        <f>IF($B11="","",$B11*$H11)</f>
        <v/>
      </c>
      <c r="P11" s="20">
        <f>IF($B11="","",(IFERROR($B11/(1+Settings!$B$6),0)-$C11-(MAX($B11*$D11,0.25))-$E11-((MAX($B11*$D11,0.25)+$E11)*Settings!$B$7)-$F11-$G11)*$H11)</f>
        <v/>
      </c>
      <c r="Q11" s="20">
        <f>IF($B11="","",(IFERROR($B11/(1+Settings!$B$6),0)-$C11-(MAX($B11*$D11,0.25))-$E11-((MAX($B11*$D11,0.25)+$E11)*Settings!$B$7)-$F11-$G11)*$H11-$I11)</f>
        <v/>
      </c>
      <c r="R11" s="18">
        <f>IF($B11="","",(IFERROR($B11/(1+Settings!$B$6),0)-$C11-(MAX($B11*$D11,0.25))-$E11-((MAX($B11*$D11,0.25)+$E11)*Settings!$B$7)-$F11-$G11)*$H11-$I11+ROW()/1000000)</f>
        <v/>
      </c>
    </row>
    <row r="12">
      <c r="A12" s="13" t="inlineStr">
        <is>
          <t>Ceramic Mug Set</t>
        </is>
      </c>
      <c r="B12" s="14" t="n">
        <v>28.5</v>
      </c>
      <c r="C12" s="14" t="n">
        <v>9.15</v>
      </c>
      <c r="D12" s="15" t="n">
        <v>0.15</v>
      </c>
      <c r="E12" s="14" t="n">
        <v>3.35</v>
      </c>
      <c r="F12" s="14" t="n">
        <v>0.31</v>
      </c>
      <c r="G12" s="14" t="n">
        <v>0.35</v>
      </c>
      <c r="H12" s="16" t="n">
        <v>240</v>
      </c>
      <c r="I12" s="17" t="n">
        <v>1750</v>
      </c>
      <c r="J12" s="18">
        <f>IF($B12="","",IFERROR($B12/(1+Settings!$B$6),0)-$C12-(MAX($B12*$D12,0.25))-$E12-((MAX($B12*$D12,0.25)+$E12)*Settings!$B$7)-$F12-$G12)</f>
        <v/>
      </c>
      <c r="K12" s="19">
        <f>IF($B12="","",IFERROR((IFERROR($B12/(1+Settings!$B$6),0)-$C12-(MAX($B12*$D12,0.25))-$E12-((MAX($B12*$D12,0.25)+$E12)*Settings!$B$7)-$F12-$G12)/$B12,""))</f>
        <v/>
      </c>
      <c r="L12" s="19">
        <f>IF($B12="","",IFERROR((IFERROR($B12/(1+Settings!$B$6),0)-$C12-(MAX($B12*$D12,0.25))-$E12-((MAX($B12*$D12,0.25)+$E12)*Settings!$B$7)-$F12-$G12)/$B12,""))</f>
        <v/>
      </c>
      <c r="M12" s="19">
        <f>IF($B12="","",IFERROR($I12/($B12*$H12),""))</f>
        <v/>
      </c>
      <c r="N12" s="18">
        <f>IF($B12="","",(IFERROR($B12/(1+Settings!$B$6),0)-$C12-(MAX($B12*$D12,0.25))-$E12-((MAX($B12*$D12,0.25)+$E12)*Settings!$B$7)-$F12-$G12)-IFERROR($I12/$H12,0))</f>
        <v/>
      </c>
      <c r="O12" s="20">
        <f>IF($B12="","",$B12*$H12)</f>
        <v/>
      </c>
      <c r="P12" s="20">
        <f>IF($B12="","",(IFERROR($B12/(1+Settings!$B$6),0)-$C12-(MAX($B12*$D12,0.25))-$E12-((MAX($B12*$D12,0.25)+$E12)*Settings!$B$7)-$F12-$G12)*$H12)</f>
        <v/>
      </c>
      <c r="Q12" s="20">
        <f>IF($B12="","",(IFERROR($B12/(1+Settings!$B$6),0)-$C12-(MAX($B12*$D12,0.25))-$E12-((MAX($B12*$D12,0.25)+$E12)*Settings!$B$7)-$F12-$G12)*$H12-$I12)</f>
        <v/>
      </c>
      <c r="R12" s="18">
        <f>IF($B12="","",(IFERROR($B12/(1+Settings!$B$6),0)-$C12-(MAX($B12*$D12,0.25))-$E12-((MAX($B12*$D12,0.25)+$E12)*Settings!$B$7)-$F12-$G12)*$H12-$I12+ROW()/1000000)</f>
        <v/>
      </c>
    </row>
    <row r="13">
      <c r="A13" s="13" t="inlineStr">
        <is>
          <t>Linen Cushion</t>
        </is>
      </c>
      <c r="B13" s="14" t="n">
        <v>21</v>
      </c>
      <c r="C13" s="14" t="n">
        <v>6.9</v>
      </c>
      <c r="D13" s="15" t="n">
        <v>0.15</v>
      </c>
      <c r="E13" s="14" t="n">
        <v>2.95</v>
      </c>
      <c r="F13" s="14" t="n">
        <v>0.22</v>
      </c>
      <c r="G13" s="14" t="n">
        <v>0.3</v>
      </c>
      <c r="H13" s="16" t="n">
        <v>290</v>
      </c>
      <c r="I13" s="17" t="n">
        <v>1035</v>
      </c>
      <c r="J13" s="18">
        <f>IF($B13="","",IFERROR($B13/(1+Settings!$B$6),0)-$C13-(MAX($B13*$D13,0.25))-$E13-((MAX($B13*$D13,0.25)+$E13)*Settings!$B$7)-$F13-$G13)</f>
        <v/>
      </c>
      <c r="K13" s="19">
        <f>IF($B13="","",IFERROR((IFERROR($B13/(1+Settings!$B$6),0)-$C13-(MAX($B13*$D13,0.25))-$E13-((MAX($B13*$D13,0.25)+$E13)*Settings!$B$7)-$F13-$G13)/$B13,""))</f>
        <v/>
      </c>
      <c r="L13" s="19">
        <f>IF($B13="","",IFERROR((IFERROR($B13/(1+Settings!$B$6),0)-$C13-(MAX($B13*$D13,0.25))-$E13-((MAX($B13*$D13,0.25)+$E13)*Settings!$B$7)-$F13-$G13)/$B13,""))</f>
        <v/>
      </c>
      <c r="M13" s="19">
        <f>IF($B13="","",IFERROR($I13/($B13*$H13),""))</f>
        <v/>
      </c>
      <c r="N13" s="18">
        <f>IF($B13="","",(IFERROR($B13/(1+Settings!$B$6),0)-$C13-(MAX($B13*$D13,0.25))-$E13-((MAX($B13*$D13,0.25)+$E13)*Settings!$B$7)-$F13-$G13)-IFERROR($I13/$H13,0))</f>
        <v/>
      </c>
      <c r="O13" s="20">
        <f>IF($B13="","",$B13*$H13)</f>
        <v/>
      </c>
      <c r="P13" s="20">
        <f>IF($B13="","",(IFERROR($B13/(1+Settings!$B$6),0)-$C13-(MAX($B13*$D13,0.25))-$E13-((MAX($B13*$D13,0.25)+$E13)*Settings!$B$7)-$F13-$G13)*$H13)</f>
        <v/>
      </c>
      <c r="Q13" s="20">
        <f>IF($B13="","",(IFERROR($B13/(1+Settings!$B$6),0)-$C13-(MAX($B13*$D13,0.25))-$E13-((MAX($B13*$D13,0.25)+$E13)*Settings!$B$7)-$F13-$G13)*$H13-$I13)</f>
        <v/>
      </c>
      <c r="R13" s="18">
        <f>IF($B13="","",(IFERROR($B13/(1+Settings!$B$6),0)-$C13-(MAX($B13*$D13,0.25))-$E13-((MAX($B13*$D13,0.25)+$E13)*Settings!$B$7)-$F13-$G13)*$H13-$I13+ROW()/1000000)</f>
        <v/>
      </c>
    </row>
    <row r="14">
      <c r="A14" s="13" t="inlineStr">
        <is>
          <t>Scented Candle</t>
        </is>
      </c>
      <c r="B14" s="14" t="n">
        <v>14.95</v>
      </c>
      <c r="C14" s="14" t="n">
        <v>4.2</v>
      </c>
      <c r="D14" s="15" t="n">
        <v>0.15</v>
      </c>
      <c r="E14" s="14" t="n">
        <v>2.6</v>
      </c>
      <c r="F14" s="14" t="n">
        <v>0.09</v>
      </c>
      <c r="G14" s="14" t="n">
        <v>0.25</v>
      </c>
      <c r="H14" s="16" t="n">
        <v>510</v>
      </c>
      <c r="I14" s="17" t="n">
        <v>1300</v>
      </c>
      <c r="J14" s="18">
        <f>IF($B14="","",IFERROR($B14/(1+Settings!$B$6),0)-$C14-(MAX($B14*$D14,0.25))-$E14-((MAX($B14*$D14,0.25)+$E14)*Settings!$B$7)-$F14-$G14)</f>
        <v/>
      </c>
      <c r="K14" s="19">
        <f>IF($B14="","",IFERROR((IFERROR($B14/(1+Settings!$B$6),0)-$C14-(MAX($B14*$D14,0.25))-$E14-((MAX($B14*$D14,0.25)+$E14)*Settings!$B$7)-$F14-$G14)/$B14,""))</f>
        <v/>
      </c>
      <c r="L14" s="19">
        <f>IF($B14="","",IFERROR((IFERROR($B14/(1+Settings!$B$6),0)-$C14-(MAX($B14*$D14,0.25))-$E14-((MAX($B14*$D14,0.25)+$E14)*Settings!$B$7)-$F14-$G14)/$B14,""))</f>
        <v/>
      </c>
      <c r="M14" s="19">
        <f>IF($B14="","",IFERROR($I14/($B14*$H14),""))</f>
        <v/>
      </c>
      <c r="N14" s="18">
        <f>IF($B14="","",(IFERROR($B14/(1+Settings!$B$6),0)-$C14-(MAX($B14*$D14,0.25))-$E14-((MAX($B14*$D14,0.25)+$E14)*Settings!$B$7)-$F14-$G14)-IFERROR($I14/$H14,0))</f>
        <v/>
      </c>
      <c r="O14" s="20">
        <f>IF($B14="","",$B14*$H14)</f>
        <v/>
      </c>
      <c r="P14" s="20">
        <f>IF($B14="","",(IFERROR($B14/(1+Settings!$B$6),0)-$C14-(MAX($B14*$D14,0.25))-$E14-((MAX($B14*$D14,0.25)+$E14)*Settings!$B$7)-$F14-$G14)*$H14)</f>
        <v/>
      </c>
      <c r="Q14" s="20">
        <f>IF($B14="","",(IFERROR($B14/(1+Settings!$B$6),0)-$C14-(MAX($B14*$D14,0.25))-$E14-((MAX($B14*$D14,0.25)+$E14)*Settings!$B$7)-$F14-$G14)*$H14-$I14)</f>
        <v/>
      </c>
      <c r="R14" s="18">
        <f>IF($B14="","",(IFERROR($B14/(1+Settings!$B$6),0)-$C14-(MAX($B14*$D14,0.25))-$E14-((MAX($B14*$D14,0.25)+$E14)*Settings!$B$7)-$F14-$G14)*$H14-$I14+ROW()/1000000)</f>
        <v/>
      </c>
    </row>
    <row r="15">
      <c r="A15" s="13" t="inlineStr">
        <is>
          <t>Wool Throw</t>
        </is>
      </c>
      <c r="B15" s="14" t="n">
        <v>45</v>
      </c>
      <c r="C15" s="14" t="n">
        <v>15.6</v>
      </c>
      <c r="D15" s="15" t="n">
        <v>0.15</v>
      </c>
      <c r="E15" s="14" t="n">
        <v>4.4</v>
      </c>
      <c r="F15" s="14" t="n">
        <v>0.48</v>
      </c>
      <c r="G15" s="14" t="n">
        <v>0.55</v>
      </c>
      <c r="H15" s="16" t="n">
        <v>120</v>
      </c>
      <c r="I15" s="17" t="n">
        <v>594</v>
      </c>
      <c r="J15" s="18">
        <f>IF($B15="","",IFERROR($B15/(1+Settings!$B$6),0)-$C15-(MAX($B15*$D15,0.25))-$E15-((MAX($B15*$D15,0.25)+$E15)*Settings!$B$7)-$F15-$G15)</f>
        <v/>
      </c>
      <c r="K15" s="19">
        <f>IF($B15="","",IFERROR((IFERROR($B15/(1+Settings!$B$6),0)-$C15-(MAX($B15*$D15,0.25))-$E15-((MAX($B15*$D15,0.25)+$E15)*Settings!$B$7)-$F15-$G15)/$B15,""))</f>
        <v/>
      </c>
      <c r="L15" s="19">
        <f>IF($B15="","",IFERROR((IFERROR($B15/(1+Settings!$B$6),0)-$C15-(MAX($B15*$D15,0.25))-$E15-((MAX($B15*$D15,0.25)+$E15)*Settings!$B$7)-$F15-$G15)/$B15,""))</f>
        <v/>
      </c>
      <c r="M15" s="19">
        <f>IF($B15="","",IFERROR($I15/($B15*$H15),""))</f>
        <v/>
      </c>
      <c r="N15" s="18">
        <f>IF($B15="","",(IFERROR($B15/(1+Settings!$B$6),0)-$C15-(MAX($B15*$D15,0.25))-$E15-((MAX($B15*$D15,0.25)+$E15)*Settings!$B$7)-$F15-$G15)-IFERROR($I15/$H15,0))</f>
        <v/>
      </c>
      <c r="O15" s="20">
        <f>IF($B15="","",$B15*$H15)</f>
        <v/>
      </c>
      <c r="P15" s="20">
        <f>IF($B15="","",(IFERROR($B15/(1+Settings!$B$6),0)-$C15-(MAX($B15*$D15,0.25))-$E15-((MAX($B15*$D15,0.25)+$E15)*Settings!$B$7)-$F15-$G15)*$H15)</f>
        <v/>
      </c>
      <c r="Q15" s="20">
        <f>IF($B15="","",(IFERROR($B15/(1+Settings!$B$6),0)-$C15-(MAX($B15*$D15,0.25))-$E15-((MAX($B15*$D15,0.25)+$E15)*Settings!$B$7)-$F15-$G15)*$H15-$I15)</f>
        <v/>
      </c>
      <c r="R15" s="18">
        <f>IF($B15="","",(IFERROR($B15/(1+Settings!$B$6),0)-$C15-(MAX($B15*$D15,0.25))-$E15-((MAX($B15*$D15,0.25)+$E15)*Settings!$B$7)-$F15-$G15)*$H15-$I15+ROW()/1000000)</f>
        <v/>
      </c>
    </row>
    <row r="16">
      <c r="A16" s="13" t="inlineStr">
        <is>
          <t>Glass Vase</t>
        </is>
      </c>
      <c r="B16" s="14" t="n">
        <v>19.99</v>
      </c>
      <c r="C16" s="14" t="n">
        <v>7.85</v>
      </c>
      <c r="D16" s="15" t="n">
        <v>0.15</v>
      </c>
      <c r="E16" s="14" t="n">
        <v>3.1</v>
      </c>
      <c r="F16" s="14" t="n">
        <v>0.24</v>
      </c>
      <c r="G16" s="14" t="n">
        <v>0.45</v>
      </c>
      <c r="H16" s="16" t="n">
        <v>260</v>
      </c>
      <c r="I16" s="17" t="n">
        <v>700</v>
      </c>
      <c r="J16" s="18">
        <f>IF($B16="","",IFERROR($B16/(1+Settings!$B$6),0)-$C16-(MAX($B16*$D16,0.25))-$E16-((MAX($B16*$D16,0.25)+$E16)*Settings!$B$7)-$F16-$G16)</f>
        <v/>
      </c>
      <c r="K16" s="19">
        <f>IF($B16="","",IFERROR((IFERROR($B16/(1+Settings!$B$6),0)-$C16-(MAX($B16*$D16,0.25))-$E16-((MAX($B16*$D16,0.25)+$E16)*Settings!$B$7)-$F16-$G16)/$B16,""))</f>
        <v/>
      </c>
      <c r="L16" s="19">
        <f>IF($B16="","",IFERROR((IFERROR($B16/(1+Settings!$B$6),0)-$C16-(MAX($B16*$D16,0.25))-$E16-((MAX($B16*$D16,0.25)+$E16)*Settings!$B$7)-$F16-$G16)/$B16,""))</f>
        <v/>
      </c>
      <c r="M16" s="19">
        <f>IF($B16="","",IFERROR($I16/($B16*$H16),""))</f>
        <v/>
      </c>
      <c r="N16" s="18">
        <f>IF($B16="","",(IFERROR($B16/(1+Settings!$B$6),0)-$C16-(MAX($B16*$D16,0.25))-$E16-((MAX($B16*$D16,0.25)+$E16)*Settings!$B$7)-$F16-$G16)-IFERROR($I16/$H16,0))</f>
        <v/>
      </c>
      <c r="O16" s="20">
        <f>IF($B16="","",$B16*$H16)</f>
        <v/>
      </c>
      <c r="P16" s="20">
        <f>IF($B16="","",(IFERROR($B16/(1+Settings!$B$6),0)-$C16-(MAX($B16*$D16,0.25))-$E16-((MAX($B16*$D16,0.25)+$E16)*Settings!$B$7)-$F16-$G16)*$H16)</f>
        <v/>
      </c>
      <c r="Q16" s="20">
        <f>IF($B16="","",(IFERROR($B16/(1+Settings!$B$6),0)-$C16-(MAX($B16*$D16,0.25))-$E16-((MAX($B16*$D16,0.25)+$E16)*Settings!$B$7)-$F16-$G16)*$H16-$I16)</f>
        <v/>
      </c>
      <c r="R16" s="18">
        <f>IF($B16="","",(IFERROR($B16/(1+Settings!$B$6),0)-$C16-(MAX($B16*$D16,0.25))-$E16-((MAX($B16*$D16,0.25)+$E16)*Settings!$B$7)-$F16-$G16)*$H16-$I16+ROW()/1000000)</f>
        <v/>
      </c>
    </row>
    <row r="17">
      <c r="A17" s="13" t="inlineStr">
        <is>
          <t>Storage Basket</t>
        </is>
      </c>
      <c r="B17" s="14" t="n">
        <v>26.5</v>
      </c>
      <c r="C17" s="14" t="n">
        <v>11.2</v>
      </c>
      <c r="D17" s="15" t="n">
        <v>0.15</v>
      </c>
      <c r="E17" s="14" t="n">
        <v>3.95</v>
      </c>
      <c r="F17" s="14" t="n">
        <v>0.44</v>
      </c>
      <c r="G17" s="14" t="n">
        <v>0.4</v>
      </c>
      <c r="H17" s="16" t="n">
        <v>150</v>
      </c>
      <c r="I17" s="17" t="n">
        <v>500</v>
      </c>
      <c r="J17" s="18">
        <f>IF($B17="","",IFERROR($B17/(1+Settings!$B$6),0)-$C17-(MAX($B17*$D17,0.25))-$E17-((MAX($B17*$D17,0.25)+$E17)*Settings!$B$7)-$F17-$G17)</f>
        <v/>
      </c>
      <c r="K17" s="19">
        <f>IF($B17="","",IFERROR((IFERROR($B17/(1+Settings!$B$6),0)-$C17-(MAX($B17*$D17,0.25))-$E17-((MAX($B17*$D17,0.25)+$E17)*Settings!$B$7)-$F17-$G17)/$B17,""))</f>
        <v/>
      </c>
      <c r="L17" s="19">
        <f>IF($B17="","",IFERROR((IFERROR($B17/(1+Settings!$B$6),0)-$C17-(MAX($B17*$D17,0.25))-$E17-((MAX($B17*$D17,0.25)+$E17)*Settings!$B$7)-$F17-$G17)/$B17,""))</f>
        <v/>
      </c>
      <c r="M17" s="19">
        <f>IF($B17="","",IFERROR($I17/($B17*$H17),""))</f>
        <v/>
      </c>
      <c r="N17" s="18">
        <f>IF($B17="","",(IFERROR($B17/(1+Settings!$B$6),0)-$C17-(MAX($B17*$D17,0.25))-$E17-((MAX($B17*$D17,0.25)+$E17)*Settings!$B$7)-$F17-$G17)-IFERROR($I17/$H17,0))</f>
        <v/>
      </c>
      <c r="O17" s="20">
        <f>IF($B17="","",$B17*$H17)</f>
        <v/>
      </c>
      <c r="P17" s="20">
        <f>IF($B17="","",(IFERROR($B17/(1+Settings!$B$6),0)-$C17-(MAX($B17*$D17,0.25))-$E17-((MAX($B17*$D17,0.25)+$E17)*Settings!$B$7)-$F17-$G17)*$H17)</f>
        <v/>
      </c>
      <c r="Q17" s="20">
        <f>IF($B17="","",(IFERROR($B17/(1+Settings!$B$6),0)-$C17-(MAX($B17*$D17,0.25))-$E17-((MAX($B17*$D17,0.25)+$E17)*Settings!$B$7)-$F17-$G17)*$H17-$I17)</f>
        <v/>
      </c>
      <c r="R17" s="18">
        <f>IF($B17="","",(IFERROR($B17/(1+Settings!$B$6),0)-$C17-(MAX($B17*$D17,0.25))-$E17-((MAX($B17*$D17,0.25)+$E17)*Settings!$B$7)-$F17-$G17)*$H17-$I17+ROW()/1000000)</f>
        <v/>
      </c>
    </row>
    <row r="18">
      <c r="A18" s="13" t="inlineStr">
        <is>
          <t>Cotton Tea Towel</t>
        </is>
      </c>
      <c r="B18" s="14" t="n">
        <v>8.5</v>
      </c>
      <c r="C18" s="14" t="n">
        <v>2.05</v>
      </c>
      <c r="D18" s="15" t="n">
        <v>0.15</v>
      </c>
      <c r="E18" s="14" t="n">
        <v>2.25</v>
      </c>
      <c r="F18" s="14" t="n">
        <v>0.05</v>
      </c>
      <c r="G18" s="14" t="n">
        <v>0.18</v>
      </c>
      <c r="H18" s="16" t="n">
        <v>480</v>
      </c>
      <c r="I18" s="17" t="n">
        <v>408</v>
      </c>
      <c r="J18" s="18">
        <f>IF($B18="","",IFERROR($B18/(1+Settings!$B$6),0)-$C18-(MAX($B18*$D18,0.25))-$E18-((MAX($B18*$D18,0.25)+$E18)*Settings!$B$7)-$F18-$G18)</f>
        <v/>
      </c>
      <c r="K18" s="19">
        <f>IF($B18="","",IFERROR((IFERROR($B18/(1+Settings!$B$6),0)-$C18-(MAX($B18*$D18,0.25))-$E18-((MAX($B18*$D18,0.25)+$E18)*Settings!$B$7)-$F18-$G18)/$B18,""))</f>
        <v/>
      </c>
      <c r="L18" s="19">
        <f>IF($B18="","",IFERROR((IFERROR($B18/(1+Settings!$B$6),0)-$C18-(MAX($B18*$D18,0.25))-$E18-((MAX($B18*$D18,0.25)+$E18)*Settings!$B$7)-$F18-$G18)/$B18,""))</f>
        <v/>
      </c>
      <c r="M18" s="19">
        <f>IF($B18="","",IFERROR($I18/($B18*$H18),""))</f>
        <v/>
      </c>
      <c r="N18" s="18">
        <f>IF($B18="","",(IFERROR($B18/(1+Settings!$B$6),0)-$C18-(MAX($B18*$D18,0.25))-$E18-((MAX($B18*$D18,0.25)+$E18)*Settings!$B$7)-$F18-$G18)-IFERROR($I18/$H18,0))</f>
        <v/>
      </c>
      <c r="O18" s="20">
        <f>IF($B18="","",$B18*$H18)</f>
        <v/>
      </c>
      <c r="P18" s="20">
        <f>IF($B18="","",(IFERROR($B18/(1+Settings!$B$6),0)-$C18-(MAX($B18*$D18,0.25))-$E18-((MAX($B18*$D18,0.25)+$E18)*Settings!$B$7)-$F18-$G18)*$H18)</f>
        <v/>
      </c>
      <c r="Q18" s="20">
        <f>IF($B18="","",(IFERROR($B18/(1+Settings!$B$6),0)-$C18-(MAX($B18*$D18,0.25))-$E18-((MAX($B18*$D18,0.25)+$E18)*Settings!$B$7)-$F18-$G18)*$H18-$I18)</f>
        <v/>
      </c>
      <c r="R18" s="18">
        <f>IF($B18="","",(IFERROR($B18/(1+Settings!$B$6),0)-$C18-(MAX($B18*$D18,0.25))-$E18-((MAX($B18*$D18,0.25)+$E18)*Settings!$B$7)-$F18-$G18)*$H18-$I18+ROW()/1000000)</f>
        <v/>
      </c>
    </row>
    <row r="19">
      <c r="A19" s="13" t="inlineStr">
        <is>
          <t>Oak Coaster Set</t>
        </is>
      </c>
      <c r="B19" s="14" t="n">
        <v>16</v>
      </c>
      <c r="C19" s="14" t="n">
        <v>4.6</v>
      </c>
      <c r="D19" s="15" t="n">
        <v>0.15</v>
      </c>
      <c r="E19" s="14" t="n">
        <v>2.7</v>
      </c>
      <c r="F19" s="14" t="n">
        <v>0.1</v>
      </c>
      <c r="G19" s="14" t="n">
        <v>0.28</v>
      </c>
      <c r="H19" s="16" t="n">
        <v>200</v>
      </c>
      <c r="I19" s="17" t="n">
        <v>520</v>
      </c>
      <c r="J19" s="18">
        <f>IF($B19="","",IFERROR($B19/(1+Settings!$B$6),0)-$C19-(MAX($B19*$D19,0.25))-$E19-((MAX($B19*$D19,0.25)+$E19)*Settings!$B$7)-$F19-$G19)</f>
        <v/>
      </c>
      <c r="K19" s="19">
        <f>IF($B19="","",IFERROR((IFERROR($B19/(1+Settings!$B$6),0)-$C19-(MAX($B19*$D19,0.25))-$E19-((MAX($B19*$D19,0.25)+$E19)*Settings!$B$7)-$F19-$G19)/$B19,""))</f>
        <v/>
      </c>
      <c r="L19" s="19">
        <f>IF($B19="","",IFERROR((IFERROR($B19/(1+Settings!$B$6),0)-$C19-(MAX($B19*$D19,0.25))-$E19-((MAX($B19*$D19,0.25)+$E19)*Settings!$B$7)-$F19-$G19)/$B19,""))</f>
        <v/>
      </c>
      <c r="M19" s="19">
        <f>IF($B19="","",IFERROR($I19/($B19*$H19),""))</f>
        <v/>
      </c>
      <c r="N19" s="18">
        <f>IF($B19="","",(IFERROR($B19/(1+Settings!$B$6),0)-$C19-(MAX($B19*$D19,0.25))-$E19-((MAX($B19*$D19,0.25)+$E19)*Settings!$B$7)-$F19-$G19)-IFERROR($I19/$H19,0))</f>
        <v/>
      </c>
      <c r="O19" s="20">
        <f>IF($B19="","",$B19*$H19)</f>
        <v/>
      </c>
      <c r="P19" s="20">
        <f>IF($B19="","",(IFERROR($B19/(1+Settings!$B$6),0)-$C19-(MAX($B19*$D19,0.25))-$E19-((MAX($B19*$D19,0.25)+$E19)*Settings!$B$7)-$F19-$G19)*$H19)</f>
        <v/>
      </c>
      <c r="Q19" s="20">
        <f>IF($B19="","",(IFERROR($B19/(1+Settings!$B$6),0)-$C19-(MAX($B19*$D19,0.25))-$E19-((MAX($B19*$D19,0.25)+$E19)*Settings!$B$7)-$F19-$G19)*$H19-$I19)</f>
        <v/>
      </c>
      <c r="R19" s="18">
        <f>IF($B19="","",(IFERROR($B19/(1+Settings!$B$6),0)-$C19-(MAX($B19*$D19,0.25))-$E19-((MAX($B19*$D19,0.25)+$E19)*Settings!$B$7)-$F19-$G19)*$H19-$I19+ROW()/1000000)</f>
        <v/>
      </c>
    </row>
  </sheetData>
  <conditionalFormatting sqref="N8:N19">
    <cfRule type="cellIs" priority="1" operator="lessThan" dxfId="0">
      <formula>0</formula>
    </cfRule>
  </conditionalFormatting>
  <conditionalFormatting sqref="Q8:Q19">
    <cfRule type="cellIs" priority="2" operator="lessThan" dxfId="0">
      <formula>0</formula>
    </cfRule>
    <cfRule type="cellIs" priority="3" operator="greaterThan" dxfId="1">
      <formula>0</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H29"/>
  <sheetViews>
    <sheetView showGridLines="0" workbookViewId="0">
      <selection activeCell="A1" sqref="A1"/>
    </sheetView>
  </sheetViews>
  <sheetFormatPr baseColWidth="8" defaultRowHeight="15"/>
  <cols>
    <col width="7" customWidth="1" min="1" max="1"/>
    <col width="20" customWidth="1" min="2" max="2"/>
    <col width="13" customWidth="1" min="3" max="3"/>
    <col width="13" customWidth="1" min="4" max="4"/>
    <col width="13" customWidth="1" min="5" max="5"/>
    <col width="14" customWidth="1" min="6" max="6"/>
    <col width="13" customWidth="1" min="7" max="7"/>
    <col width="11" customWidth="1" min="8" max="8"/>
  </cols>
  <sheetData>
    <row r="1">
      <c r="A1" s="1" t="inlineStr">
        <is>
          <t>ZAZEN TAX</t>
        </is>
      </c>
    </row>
    <row r="2">
      <c r="A2" s="2" t="inlineStr">
        <is>
          <t>Best first, by what each product actually leaves you</t>
        </is>
      </c>
    </row>
    <row r="3">
      <c r="A3" s="3" t="inlineStr">
        <is>
          <t>Nothing here needs typing. It reads the ASINs sheet.</t>
        </is>
      </c>
    </row>
    <row r="6" ht="28" customHeight="1">
      <c r="A6" s="12" t="inlineStr">
        <is>
          <t>Rank</t>
        </is>
      </c>
      <c r="B6" s="12" t="inlineStr">
        <is>
          <t>Product</t>
        </is>
      </c>
      <c r="C6" s="12" t="inlineStr">
        <is>
          <t>Profit a month</t>
        </is>
      </c>
      <c r="D6" s="12" t="inlineStr">
        <is>
          <t>Revenue a month</t>
        </is>
      </c>
      <c r="E6" s="12" t="inlineStr">
        <is>
          <t>Share of revenue</t>
        </is>
      </c>
      <c r="F6" s="12" t="inlineStr">
        <is>
          <t>Share of contribution</t>
        </is>
      </c>
      <c r="G6" s="12" t="inlineStr">
        <is>
          <t>Break-even ACoS</t>
        </is>
      </c>
      <c r="H6" s="12" t="inlineStr">
        <is>
          <t>Actual ACoS</t>
        </is>
      </c>
    </row>
    <row r="7">
      <c r="A7" s="21" t="n">
        <v>1</v>
      </c>
      <c r="B7" s="22">
        <f>IFERROR(INDEX(ASINs!$A$8:$A$19,MATCH(LARGE(ASINs!$R$8:$R$19,1),ASINs!$R$8:$R$19,0)),"")</f>
        <v/>
      </c>
      <c r="C7" s="20">
        <f>IFERROR(INDEX(ASINs!$Q$8:$Q$19,MATCH(LARGE(ASINs!$R$8:$R$19,1),ASINs!$R$8:$R$19,0)),"")</f>
        <v/>
      </c>
      <c r="D7" s="20">
        <f>IFERROR(INDEX(ASINs!$O$8:$O$19,MATCH(LARGE(ASINs!$R$8:$R$19,1),ASINs!$R$8:$R$19,0)),"")</f>
        <v/>
      </c>
      <c r="E7" s="19">
        <f>IFERROR(INDEX(ASINs!$O$8:$O$19,MATCH(LARGE(ASINs!$R$8:$R$19,1),ASINs!$R$8:$R$19,0))/SUM(ASINs!$O$8:$O$19),"")</f>
        <v/>
      </c>
      <c r="F7" s="19">
        <f>IFERROR(INDEX(ASINs!$P$8:$P$19,MATCH(LARGE(ASINs!$R$8:$R$19,1),ASINs!$R$8:$R$19,0))/SUM(ASINs!$P$8:$P$19),"")</f>
        <v/>
      </c>
      <c r="G7" s="19">
        <f>IFERROR(INDEX(ASINs!$L$8:$L$19,MATCH(LARGE(ASINs!$R$8:$R$19,1),ASINs!$R$8:$R$19,0)),"")</f>
        <v/>
      </c>
      <c r="H7" s="19">
        <f>IFERROR(INDEX(ASINs!$M$8:$M$19,MATCH(LARGE(ASINs!$R$8:$R$19,1),ASINs!$R$8:$R$19,0)),"")</f>
        <v/>
      </c>
    </row>
    <row r="8">
      <c r="A8" s="21" t="n">
        <v>2</v>
      </c>
      <c r="B8" s="22">
        <f>IFERROR(INDEX(ASINs!$A$8:$A$19,MATCH(LARGE(ASINs!$R$8:$R$19,2),ASINs!$R$8:$R$19,0)),"")</f>
        <v/>
      </c>
      <c r="C8" s="20">
        <f>IFERROR(INDEX(ASINs!$Q$8:$Q$19,MATCH(LARGE(ASINs!$R$8:$R$19,2),ASINs!$R$8:$R$19,0)),"")</f>
        <v/>
      </c>
      <c r="D8" s="20">
        <f>IFERROR(INDEX(ASINs!$O$8:$O$19,MATCH(LARGE(ASINs!$R$8:$R$19,2),ASINs!$R$8:$R$19,0)),"")</f>
        <v/>
      </c>
      <c r="E8" s="19">
        <f>IFERROR(INDEX(ASINs!$O$8:$O$19,MATCH(LARGE(ASINs!$R$8:$R$19,2),ASINs!$R$8:$R$19,0))/SUM(ASINs!$O$8:$O$19),"")</f>
        <v/>
      </c>
      <c r="F8" s="19">
        <f>IFERROR(INDEX(ASINs!$P$8:$P$19,MATCH(LARGE(ASINs!$R$8:$R$19,2),ASINs!$R$8:$R$19,0))/SUM(ASINs!$P$8:$P$19),"")</f>
        <v/>
      </c>
      <c r="G8" s="19">
        <f>IFERROR(INDEX(ASINs!$L$8:$L$19,MATCH(LARGE(ASINs!$R$8:$R$19,2),ASINs!$R$8:$R$19,0)),"")</f>
        <v/>
      </c>
      <c r="H8" s="19">
        <f>IFERROR(INDEX(ASINs!$M$8:$M$19,MATCH(LARGE(ASINs!$R$8:$R$19,2),ASINs!$R$8:$R$19,0)),"")</f>
        <v/>
      </c>
    </row>
    <row r="9">
      <c r="A9" s="21" t="n">
        <v>3</v>
      </c>
      <c r="B9" s="22">
        <f>IFERROR(INDEX(ASINs!$A$8:$A$19,MATCH(LARGE(ASINs!$R$8:$R$19,3),ASINs!$R$8:$R$19,0)),"")</f>
        <v/>
      </c>
      <c r="C9" s="20">
        <f>IFERROR(INDEX(ASINs!$Q$8:$Q$19,MATCH(LARGE(ASINs!$R$8:$R$19,3),ASINs!$R$8:$R$19,0)),"")</f>
        <v/>
      </c>
      <c r="D9" s="20">
        <f>IFERROR(INDEX(ASINs!$O$8:$O$19,MATCH(LARGE(ASINs!$R$8:$R$19,3),ASINs!$R$8:$R$19,0)),"")</f>
        <v/>
      </c>
      <c r="E9" s="19">
        <f>IFERROR(INDEX(ASINs!$O$8:$O$19,MATCH(LARGE(ASINs!$R$8:$R$19,3),ASINs!$R$8:$R$19,0))/SUM(ASINs!$O$8:$O$19),"")</f>
        <v/>
      </c>
      <c r="F9" s="19">
        <f>IFERROR(INDEX(ASINs!$P$8:$P$19,MATCH(LARGE(ASINs!$R$8:$R$19,3),ASINs!$R$8:$R$19,0))/SUM(ASINs!$P$8:$P$19),"")</f>
        <v/>
      </c>
      <c r="G9" s="19">
        <f>IFERROR(INDEX(ASINs!$L$8:$L$19,MATCH(LARGE(ASINs!$R$8:$R$19,3),ASINs!$R$8:$R$19,0)),"")</f>
        <v/>
      </c>
      <c r="H9" s="19">
        <f>IFERROR(INDEX(ASINs!$M$8:$M$19,MATCH(LARGE(ASINs!$R$8:$R$19,3),ASINs!$R$8:$R$19,0)),"")</f>
        <v/>
      </c>
    </row>
    <row r="10">
      <c r="A10" s="21" t="n">
        <v>4</v>
      </c>
      <c r="B10" s="22">
        <f>IFERROR(INDEX(ASINs!$A$8:$A$19,MATCH(LARGE(ASINs!$R$8:$R$19,4),ASINs!$R$8:$R$19,0)),"")</f>
        <v/>
      </c>
      <c r="C10" s="20">
        <f>IFERROR(INDEX(ASINs!$Q$8:$Q$19,MATCH(LARGE(ASINs!$R$8:$R$19,4),ASINs!$R$8:$R$19,0)),"")</f>
        <v/>
      </c>
      <c r="D10" s="20">
        <f>IFERROR(INDEX(ASINs!$O$8:$O$19,MATCH(LARGE(ASINs!$R$8:$R$19,4),ASINs!$R$8:$R$19,0)),"")</f>
        <v/>
      </c>
      <c r="E10" s="19">
        <f>IFERROR(INDEX(ASINs!$O$8:$O$19,MATCH(LARGE(ASINs!$R$8:$R$19,4),ASINs!$R$8:$R$19,0))/SUM(ASINs!$O$8:$O$19),"")</f>
        <v/>
      </c>
      <c r="F10" s="19">
        <f>IFERROR(INDEX(ASINs!$P$8:$P$19,MATCH(LARGE(ASINs!$R$8:$R$19,4),ASINs!$R$8:$R$19,0))/SUM(ASINs!$P$8:$P$19),"")</f>
        <v/>
      </c>
      <c r="G10" s="19">
        <f>IFERROR(INDEX(ASINs!$L$8:$L$19,MATCH(LARGE(ASINs!$R$8:$R$19,4),ASINs!$R$8:$R$19,0)),"")</f>
        <v/>
      </c>
      <c r="H10" s="19">
        <f>IFERROR(INDEX(ASINs!$M$8:$M$19,MATCH(LARGE(ASINs!$R$8:$R$19,4),ASINs!$R$8:$R$19,0)),"")</f>
        <v/>
      </c>
    </row>
    <row r="11">
      <c r="A11" s="21" t="n">
        <v>5</v>
      </c>
      <c r="B11" s="22">
        <f>IFERROR(INDEX(ASINs!$A$8:$A$19,MATCH(LARGE(ASINs!$R$8:$R$19,5),ASINs!$R$8:$R$19,0)),"")</f>
        <v/>
      </c>
      <c r="C11" s="20">
        <f>IFERROR(INDEX(ASINs!$Q$8:$Q$19,MATCH(LARGE(ASINs!$R$8:$R$19,5),ASINs!$R$8:$R$19,0)),"")</f>
        <v/>
      </c>
      <c r="D11" s="20">
        <f>IFERROR(INDEX(ASINs!$O$8:$O$19,MATCH(LARGE(ASINs!$R$8:$R$19,5),ASINs!$R$8:$R$19,0)),"")</f>
        <v/>
      </c>
      <c r="E11" s="19">
        <f>IFERROR(INDEX(ASINs!$O$8:$O$19,MATCH(LARGE(ASINs!$R$8:$R$19,5),ASINs!$R$8:$R$19,0))/SUM(ASINs!$O$8:$O$19),"")</f>
        <v/>
      </c>
      <c r="F11" s="19">
        <f>IFERROR(INDEX(ASINs!$P$8:$P$19,MATCH(LARGE(ASINs!$R$8:$R$19,5),ASINs!$R$8:$R$19,0))/SUM(ASINs!$P$8:$P$19),"")</f>
        <v/>
      </c>
      <c r="G11" s="19">
        <f>IFERROR(INDEX(ASINs!$L$8:$L$19,MATCH(LARGE(ASINs!$R$8:$R$19,5),ASINs!$R$8:$R$19,0)),"")</f>
        <v/>
      </c>
      <c r="H11" s="19">
        <f>IFERROR(INDEX(ASINs!$M$8:$M$19,MATCH(LARGE(ASINs!$R$8:$R$19,5),ASINs!$R$8:$R$19,0)),"")</f>
        <v/>
      </c>
    </row>
    <row r="12">
      <c r="A12" s="21" t="n">
        <v>6</v>
      </c>
      <c r="B12" s="22">
        <f>IFERROR(INDEX(ASINs!$A$8:$A$19,MATCH(LARGE(ASINs!$R$8:$R$19,6),ASINs!$R$8:$R$19,0)),"")</f>
        <v/>
      </c>
      <c r="C12" s="20">
        <f>IFERROR(INDEX(ASINs!$Q$8:$Q$19,MATCH(LARGE(ASINs!$R$8:$R$19,6),ASINs!$R$8:$R$19,0)),"")</f>
        <v/>
      </c>
      <c r="D12" s="20">
        <f>IFERROR(INDEX(ASINs!$O$8:$O$19,MATCH(LARGE(ASINs!$R$8:$R$19,6),ASINs!$R$8:$R$19,0)),"")</f>
        <v/>
      </c>
      <c r="E12" s="19">
        <f>IFERROR(INDEX(ASINs!$O$8:$O$19,MATCH(LARGE(ASINs!$R$8:$R$19,6),ASINs!$R$8:$R$19,0))/SUM(ASINs!$O$8:$O$19),"")</f>
        <v/>
      </c>
      <c r="F12" s="19">
        <f>IFERROR(INDEX(ASINs!$P$8:$P$19,MATCH(LARGE(ASINs!$R$8:$R$19,6),ASINs!$R$8:$R$19,0))/SUM(ASINs!$P$8:$P$19),"")</f>
        <v/>
      </c>
      <c r="G12" s="19">
        <f>IFERROR(INDEX(ASINs!$L$8:$L$19,MATCH(LARGE(ASINs!$R$8:$R$19,6),ASINs!$R$8:$R$19,0)),"")</f>
        <v/>
      </c>
      <c r="H12" s="19">
        <f>IFERROR(INDEX(ASINs!$M$8:$M$19,MATCH(LARGE(ASINs!$R$8:$R$19,6),ASINs!$R$8:$R$19,0)),"")</f>
        <v/>
      </c>
    </row>
    <row r="13">
      <c r="A13" s="21" t="n">
        <v>7</v>
      </c>
      <c r="B13" s="22">
        <f>IFERROR(INDEX(ASINs!$A$8:$A$19,MATCH(LARGE(ASINs!$R$8:$R$19,7),ASINs!$R$8:$R$19,0)),"")</f>
        <v/>
      </c>
      <c r="C13" s="20">
        <f>IFERROR(INDEX(ASINs!$Q$8:$Q$19,MATCH(LARGE(ASINs!$R$8:$R$19,7),ASINs!$R$8:$R$19,0)),"")</f>
        <v/>
      </c>
      <c r="D13" s="20">
        <f>IFERROR(INDEX(ASINs!$O$8:$O$19,MATCH(LARGE(ASINs!$R$8:$R$19,7),ASINs!$R$8:$R$19,0)),"")</f>
        <v/>
      </c>
      <c r="E13" s="19">
        <f>IFERROR(INDEX(ASINs!$O$8:$O$19,MATCH(LARGE(ASINs!$R$8:$R$19,7),ASINs!$R$8:$R$19,0))/SUM(ASINs!$O$8:$O$19),"")</f>
        <v/>
      </c>
      <c r="F13" s="19">
        <f>IFERROR(INDEX(ASINs!$P$8:$P$19,MATCH(LARGE(ASINs!$R$8:$R$19,7),ASINs!$R$8:$R$19,0))/SUM(ASINs!$P$8:$P$19),"")</f>
        <v/>
      </c>
      <c r="G13" s="19">
        <f>IFERROR(INDEX(ASINs!$L$8:$L$19,MATCH(LARGE(ASINs!$R$8:$R$19,7),ASINs!$R$8:$R$19,0)),"")</f>
        <v/>
      </c>
      <c r="H13" s="19">
        <f>IFERROR(INDEX(ASINs!$M$8:$M$19,MATCH(LARGE(ASINs!$R$8:$R$19,7),ASINs!$R$8:$R$19,0)),"")</f>
        <v/>
      </c>
    </row>
    <row r="14">
      <c r="A14" s="21" t="n">
        <v>8</v>
      </c>
      <c r="B14" s="22">
        <f>IFERROR(INDEX(ASINs!$A$8:$A$19,MATCH(LARGE(ASINs!$R$8:$R$19,8),ASINs!$R$8:$R$19,0)),"")</f>
        <v/>
      </c>
      <c r="C14" s="20">
        <f>IFERROR(INDEX(ASINs!$Q$8:$Q$19,MATCH(LARGE(ASINs!$R$8:$R$19,8),ASINs!$R$8:$R$19,0)),"")</f>
        <v/>
      </c>
      <c r="D14" s="20">
        <f>IFERROR(INDEX(ASINs!$O$8:$O$19,MATCH(LARGE(ASINs!$R$8:$R$19,8),ASINs!$R$8:$R$19,0)),"")</f>
        <v/>
      </c>
      <c r="E14" s="19">
        <f>IFERROR(INDEX(ASINs!$O$8:$O$19,MATCH(LARGE(ASINs!$R$8:$R$19,8),ASINs!$R$8:$R$19,0))/SUM(ASINs!$O$8:$O$19),"")</f>
        <v/>
      </c>
      <c r="F14" s="19">
        <f>IFERROR(INDEX(ASINs!$P$8:$P$19,MATCH(LARGE(ASINs!$R$8:$R$19,8),ASINs!$R$8:$R$19,0))/SUM(ASINs!$P$8:$P$19),"")</f>
        <v/>
      </c>
      <c r="G14" s="19">
        <f>IFERROR(INDEX(ASINs!$L$8:$L$19,MATCH(LARGE(ASINs!$R$8:$R$19,8),ASINs!$R$8:$R$19,0)),"")</f>
        <v/>
      </c>
      <c r="H14" s="19">
        <f>IFERROR(INDEX(ASINs!$M$8:$M$19,MATCH(LARGE(ASINs!$R$8:$R$19,8),ASINs!$R$8:$R$19,0)),"")</f>
        <v/>
      </c>
    </row>
    <row r="15">
      <c r="A15" s="21" t="n">
        <v>9</v>
      </c>
      <c r="B15" s="22">
        <f>IFERROR(INDEX(ASINs!$A$8:$A$19,MATCH(LARGE(ASINs!$R$8:$R$19,9),ASINs!$R$8:$R$19,0)),"")</f>
        <v/>
      </c>
      <c r="C15" s="20">
        <f>IFERROR(INDEX(ASINs!$Q$8:$Q$19,MATCH(LARGE(ASINs!$R$8:$R$19,9),ASINs!$R$8:$R$19,0)),"")</f>
        <v/>
      </c>
      <c r="D15" s="20">
        <f>IFERROR(INDEX(ASINs!$O$8:$O$19,MATCH(LARGE(ASINs!$R$8:$R$19,9),ASINs!$R$8:$R$19,0)),"")</f>
        <v/>
      </c>
      <c r="E15" s="19">
        <f>IFERROR(INDEX(ASINs!$O$8:$O$19,MATCH(LARGE(ASINs!$R$8:$R$19,9),ASINs!$R$8:$R$19,0))/SUM(ASINs!$O$8:$O$19),"")</f>
        <v/>
      </c>
      <c r="F15" s="19">
        <f>IFERROR(INDEX(ASINs!$P$8:$P$19,MATCH(LARGE(ASINs!$R$8:$R$19,9),ASINs!$R$8:$R$19,0))/SUM(ASINs!$P$8:$P$19),"")</f>
        <v/>
      </c>
      <c r="G15" s="19">
        <f>IFERROR(INDEX(ASINs!$L$8:$L$19,MATCH(LARGE(ASINs!$R$8:$R$19,9),ASINs!$R$8:$R$19,0)),"")</f>
        <v/>
      </c>
      <c r="H15" s="19">
        <f>IFERROR(INDEX(ASINs!$M$8:$M$19,MATCH(LARGE(ASINs!$R$8:$R$19,9),ASINs!$R$8:$R$19,0)),"")</f>
        <v/>
      </c>
    </row>
    <row r="16">
      <c r="A16" s="21" t="n">
        <v>10</v>
      </c>
      <c r="B16" s="22">
        <f>IFERROR(INDEX(ASINs!$A$8:$A$19,MATCH(LARGE(ASINs!$R$8:$R$19,10),ASINs!$R$8:$R$19,0)),"")</f>
        <v/>
      </c>
      <c r="C16" s="20">
        <f>IFERROR(INDEX(ASINs!$Q$8:$Q$19,MATCH(LARGE(ASINs!$R$8:$R$19,10),ASINs!$R$8:$R$19,0)),"")</f>
        <v/>
      </c>
      <c r="D16" s="20">
        <f>IFERROR(INDEX(ASINs!$O$8:$O$19,MATCH(LARGE(ASINs!$R$8:$R$19,10),ASINs!$R$8:$R$19,0)),"")</f>
        <v/>
      </c>
      <c r="E16" s="19">
        <f>IFERROR(INDEX(ASINs!$O$8:$O$19,MATCH(LARGE(ASINs!$R$8:$R$19,10),ASINs!$R$8:$R$19,0))/SUM(ASINs!$O$8:$O$19),"")</f>
        <v/>
      </c>
      <c r="F16" s="19">
        <f>IFERROR(INDEX(ASINs!$P$8:$P$19,MATCH(LARGE(ASINs!$R$8:$R$19,10),ASINs!$R$8:$R$19,0))/SUM(ASINs!$P$8:$P$19),"")</f>
        <v/>
      </c>
      <c r="G16" s="19">
        <f>IFERROR(INDEX(ASINs!$L$8:$L$19,MATCH(LARGE(ASINs!$R$8:$R$19,10),ASINs!$R$8:$R$19,0)),"")</f>
        <v/>
      </c>
      <c r="H16" s="19">
        <f>IFERROR(INDEX(ASINs!$M$8:$M$19,MATCH(LARGE(ASINs!$R$8:$R$19,10),ASINs!$R$8:$R$19,0)),"")</f>
        <v/>
      </c>
    </row>
    <row r="17">
      <c r="A17" s="21" t="n">
        <v>11</v>
      </c>
      <c r="B17" s="22">
        <f>IFERROR(INDEX(ASINs!$A$8:$A$19,MATCH(LARGE(ASINs!$R$8:$R$19,11),ASINs!$R$8:$R$19,0)),"")</f>
        <v/>
      </c>
      <c r="C17" s="20">
        <f>IFERROR(INDEX(ASINs!$Q$8:$Q$19,MATCH(LARGE(ASINs!$R$8:$R$19,11),ASINs!$R$8:$R$19,0)),"")</f>
        <v/>
      </c>
      <c r="D17" s="20">
        <f>IFERROR(INDEX(ASINs!$O$8:$O$19,MATCH(LARGE(ASINs!$R$8:$R$19,11),ASINs!$R$8:$R$19,0)),"")</f>
        <v/>
      </c>
      <c r="E17" s="19">
        <f>IFERROR(INDEX(ASINs!$O$8:$O$19,MATCH(LARGE(ASINs!$R$8:$R$19,11),ASINs!$R$8:$R$19,0))/SUM(ASINs!$O$8:$O$19),"")</f>
        <v/>
      </c>
      <c r="F17" s="19">
        <f>IFERROR(INDEX(ASINs!$P$8:$P$19,MATCH(LARGE(ASINs!$R$8:$R$19,11),ASINs!$R$8:$R$19,0))/SUM(ASINs!$P$8:$P$19),"")</f>
        <v/>
      </c>
      <c r="G17" s="19">
        <f>IFERROR(INDEX(ASINs!$L$8:$L$19,MATCH(LARGE(ASINs!$R$8:$R$19,11),ASINs!$R$8:$R$19,0)),"")</f>
        <v/>
      </c>
      <c r="H17" s="19">
        <f>IFERROR(INDEX(ASINs!$M$8:$M$19,MATCH(LARGE(ASINs!$R$8:$R$19,11),ASINs!$R$8:$R$19,0)),"")</f>
        <v/>
      </c>
    </row>
    <row r="18">
      <c r="A18" s="21" t="n">
        <v>12</v>
      </c>
      <c r="B18" s="22">
        <f>IFERROR(INDEX(ASINs!$A$8:$A$19,MATCH(LARGE(ASINs!$R$8:$R$19,12),ASINs!$R$8:$R$19,0)),"")</f>
        <v/>
      </c>
      <c r="C18" s="20">
        <f>IFERROR(INDEX(ASINs!$Q$8:$Q$19,MATCH(LARGE(ASINs!$R$8:$R$19,12),ASINs!$R$8:$R$19,0)),"")</f>
        <v/>
      </c>
      <c r="D18" s="20">
        <f>IFERROR(INDEX(ASINs!$O$8:$O$19,MATCH(LARGE(ASINs!$R$8:$R$19,12),ASINs!$R$8:$R$19,0)),"")</f>
        <v/>
      </c>
      <c r="E18" s="19">
        <f>IFERROR(INDEX(ASINs!$O$8:$O$19,MATCH(LARGE(ASINs!$R$8:$R$19,12),ASINs!$R$8:$R$19,0))/SUM(ASINs!$O$8:$O$19),"")</f>
        <v/>
      </c>
      <c r="F18" s="19">
        <f>IFERROR(INDEX(ASINs!$P$8:$P$19,MATCH(LARGE(ASINs!$R$8:$R$19,12),ASINs!$R$8:$R$19,0))/SUM(ASINs!$P$8:$P$19),"")</f>
        <v/>
      </c>
      <c r="G18" s="19">
        <f>IFERROR(INDEX(ASINs!$L$8:$L$19,MATCH(LARGE(ASINs!$R$8:$R$19,12),ASINs!$R$8:$R$19,0)),"")</f>
        <v/>
      </c>
      <c r="H18" s="19">
        <f>IFERROR(INDEX(ASINs!$M$8:$M$19,MATCH(LARGE(ASINs!$R$8:$R$19,12),ASINs!$R$8:$R$19,0)),"")</f>
        <v/>
      </c>
    </row>
    <row r="20" ht="19" customHeight="1">
      <c r="A20" s="6" t="inlineStr">
        <is>
          <t xml:space="preserve">  The catalogue as a whole</t>
        </is>
      </c>
      <c r="B20" s="7" t="n"/>
      <c r="C20" s="7" t="n"/>
      <c r="D20" s="7" t="n"/>
      <c r="E20" s="7" t="n"/>
      <c r="F20" s="7" t="n"/>
      <c r="G20" s="7" t="n"/>
      <c r="H20" s="7" t="n"/>
    </row>
    <row r="21">
      <c r="A21" s="8" t="inlineStr">
        <is>
          <t>Revenue a month</t>
        </is>
      </c>
      <c r="B21" s="23">
        <f>SUM(ASINs!$O$8:$O$19)</f>
        <v/>
      </c>
    </row>
    <row r="22">
      <c r="A22" s="8" t="inlineStr">
        <is>
          <t>Contribution a month</t>
        </is>
      </c>
      <c r="B22" s="23">
        <f>SUM(ASINs!$P$8:$P$19)</f>
        <v/>
      </c>
    </row>
    <row r="23">
      <c r="A23" s="8" t="inlineStr">
        <is>
          <t>Advertising a month</t>
        </is>
      </c>
      <c r="B23" s="23">
        <f>SUM(ASINs!$I$8:$I$19)</f>
        <v/>
      </c>
    </row>
    <row r="24">
      <c r="A24" s="8" t="inlineStr">
        <is>
          <t>Profit a month after advertising</t>
        </is>
      </c>
      <c r="B24" s="23">
        <f>SUM(ASINs!$Q$8:$Q$19)</f>
        <v/>
      </c>
    </row>
    <row r="25">
      <c r="A25" s="8" t="inlineStr">
        <is>
          <t>Products losing money</t>
        </is>
      </c>
      <c r="B25" s="21">
        <f>COUNTIF(ASINs!$Q$8:$Q$19,"&lt;0")</f>
        <v/>
      </c>
      <c r="C25" s="10" t="inlineStr">
        <is>
          <t>Every one of these is funded by the rest of the catalogue.</t>
        </is>
      </c>
    </row>
    <row r="26">
      <c r="A26" s="8" t="inlineStr">
        <is>
          <t>What the losers cost you a month</t>
        </is>
      </c>
      <c r="B26" s="23">
        <f>-SUMIF(ASINs!$Q$8:$Q$19,"&lt;0")</f>
        <v/>
      </c>
      <c r="C26" s="10" t="inlineStr">
        <is>
          <t>Stop selling them tomorrow and this is what comes back, before any effect on your other products.</t>
        </is>
      </c>
    </row>
    <row r="27">
      <c r="A27" s="8" t="inlineStr">
        <is>
          <t>Share of contribution from the best three</t>
        </is>
      </c>
      <c r="B27" s="24">
        <f>IFERROR(SUM($C$7:$C$9)/SUM(ASINs!$P$8:$P$19),"")</f>
        <v/>
      </c>
      <c r="C27" s="10" t="inlineStr">
        <is>
          <t>If this is most of it, the catalogue is three products and some hobbies.</t>
        </is>
      </c>
    </row>
    <row r="29">
      <c r="A29" s="11" t="inlineStr">
        <is>
          <t>Ranked by profit a month rather than by margin. A thin margin on high volume is often worth more than a fat one on none, and margin alone hides that.</t>
        </is>
      </c>
    </row>
  </sheetData>
  <mergeCells count="1">
    <mergeCell ref="A3:H3"/>
  </mergeCells>
  <conditionalFormatting sqref="E7:E18">
    <cfRule type="dataBar" priority="1">
      <dataBar>
        <cfvo type="num" val="0"/>
        <cfvo type="num" val="0.4"/>
        <color rgb="001F2A37"/>
      </dataBar>
    </cfRule>
  </conditionalFormatting>
  <conditionalFormatting sqref="F7:F18">
    <cfRule type="dataBar" priority="2">
      <dataBar>
        <cfvo type="num" val="0"/>
        <cfvo type="num" val="0.4"/>
        <color rgb="001F2A37"/>
      </dataBar>
    </cfRule>
  </conditionalFormatting>
  <conditionalFormatting sqref="C7:C18">
    <cfRule type="cellIs" priority="3" operator="lessThan" dxfId="0">
      <formula>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2026-08-09T08:58:56Z</dcterms:created>
  <dcterms:modified xmlns:dcterms="http://purl.org/dc/terms/" xmlns:xsi="http://www.w3.org/2001/XMLSchema-instance" xsi:type="dcterms:W3CDTF">2026-08-09T08:58:56Z</dcterms:modified>
</cp:coreProperties>
</file>