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CoS calculator" sheetId="2" state="visible" r:id="rId2"/>
    <sheet xmlns:r="http://schemas.openxmlformats.org/officeDocument/2006/relationships" name="Your ASINs" sheetId="3" state="visible" r:id="rId3"/>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0&quot;x&quot;"/>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2"/>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8" fillId="0" borderId="0" pivotButton="0" quotePrefix="0" xfId="0"/>
    <xf numFmtId="165" fontId="9" fillId="4" borderId="1" pivotButton="0" quotePrefix="0" xfId="0"/>
    <xf numFmtId="166" fontId="8" fillId="4" borderId="1" pivotButton="0" quotePrefix="0" xfId="0"/>
    <xf numFmtId="165"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5" fontId="7" fillId="3" borderId="1" pivotButton="0" quotePrefix="0" xfId="0"/>
    <xf numFmtId="164" fontId="7" fillId="4" borderId="1" pivotButton="0" quotePrefix="0" xfId="0"/>
    <xf numFmtId="165" fontId="7" fillId="4" borderId="1" pivotButton="0" quotePrefix="0" xfId="0"/>
    <xf numFmtId="10" fontId="7" fillId="4" borderId="1" pivotButton="0" quotePrefix="0" xfId="0"/>
    <xf numFmtId="0" fontId="8" fillId="0" borderId="1" pivotButton="0" quotePrefix="0" xfId="0"/>
    <xf numFmtId="0" fontId="7"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Break-Even ACoS Calculator</t>
        </is>
      </c>
    </row>
    <row r="3">
      <c r="A3" s="3" t="inlineStr">
        <is>
          <t>The advertising cost of sale above which an Amazon unit stops making money.</t>
        </is>
      </c>
    </row>
    <row r="5">
      <c r="B5" s="4" t="inlineStr">
        <is>
          <t>The one sentence version</t>
        </is>
      </c>
    </row>
    <row r="6" ht="45" customHeight="1">
      <c r="B6" s="5" t="inlineStr">
        <is>
          <t>Your break-even ACoS is your contribution as a percentage of the selling price. That is the whole definition. If a unit leaves you £5.02 on a £24.99 price, you can spend £5.02 of advertising to sell it, which is 20.1 per cent, and every point above that comes out of your pocket.</t>
        </is>
      </c>
    </row>
    <row r="8">
      <c r="B8" s="4" t="inlineStr">
        <is>
          <t>Why it is lower than you think</t>
        </is>
      </c>
    </row>
    <row r="9" ht="15" customHeight="1">
      <c r="B9" s="5" t="inlineStr">
        <is>
          <t>Two reasons, and most ACoS calculators miss both.</t>
        </is>
      </c>
    </row>
    <row r="11" ht="30" customHeight="1">
      <c r="B11" s="5" t="inlineStr">
        <is>
          <t>1.  ACoS is measured against the sales figure Amazon reports, which in the UK is the price the buyer paid, including VAT. The denominator is the gross price, not what you keep.</t>
        </is>
      </c>
    </row>
    <row r="13" ht="30" customHeight="1">
      <c r="B13" s="5" t="inlineStr">
        <is>
          <t>2.  Amazon charges the referral fee on that same gross price, while a VAT-registered seller only keeps the net. So the fee is calculated on a number a fifth larger than your revenue.</t>
        </is>
      </c>
    </row>
    <row r="15" ht="60" customHeight="1">
      <c r="B15" s="5" t="inlineStr">
        <is>
          <t>Put together, they cost you an exact and predictable amount of headroom. Registering for VAT reduces your break-even ACoS by VAT divided by one plus VAT, which at 20 per cent is 16.67 percentage points. Not roughly. Exactly, and for every product you sell, whatever its price, cost or category.</t>
        </is>
      </c>
    </row>
    <row r="17" ht="45" customHeight="1">
      <c r="B17" s="5" t="inlineStr">
        <is>
          <t>The example product goes from a 36.8 per cent break-even ACoS to 20.1 per cent on the day you register. Same product, same price, same fees, same campaign. Nearly half the advertising headroom gone, and nothing on the Amazon side changed to tell you about it.</t>
        </is>
      </c>
    </row>
    <row r="19">
      <c r="B19" s="4" t="inlineStr">
        <is>
          <t>The mistake this exists to stop</t>
        </is>
      </c>
    </row>
    <row r="20" ht="45" customHeight="1">
      <c r="B20" s="5" t="inlineStr">
        <is>
          <t>Sellers compare ACoS to their gross margin. On the example product the gross margin is 49.2 per cent, so 30 per cent ACoS looks comfortable. It is a loss of £2.48 a unit. Gross margin is before Amazon's fees; break-even ACoS is after them.</t>
        </is>
      </c>
    </row>
    <row r="22">
      <c r="B22" s="4" t="inlineStr">
        <is>
          <t>How to use it</t>
        </is>
      </c>
    </row>
    <row r="23" ht="15" customHeight="1">
      <c r="B23" s="5" t="inlineStr">
        <is>
          <t>1.  ACoS calculator: one product in detail, with every deduction shown.</t>
        </is>
      </c>
    </row>
    <row r="25" ht="30" customHeight="1">
      <c r="B25" s="5" t="inlineStr">
        <is>
          <t>2.  Your ASINs: ten products at once, ranked by the gap between the ACoS you are paying and the ACoS you can afford. Start at the top of that list.</t>
        </is>
      </c>
    </row>
    <row r="27" ht="15" customHeight="1">
      <c r="B27" s="5" t="inlineStr">
        <is>
          <t>Yellow cells are yours. Grey cells are worked out. Nothing else needs touching.</t>
        </is>
      </c>
    </row>
    <row r="29">
      <c r="B29" s="4" t="inlineStr">
        <is>
          <t>What it does not cover</t>
        </is>
      </c>
    </row>
    <row r="30" ht="60" customHeight="1">
      <c r="B30" s="5" t="inlineStr">
        <is>
          <t>Storage fees, aged inventory surcharges, the monthly professional plan and returns processing are all real costs and none of them belong in ACoS, because none of them varies with a single advertised sale. Put an allowance for returns in the other cost per unit if you want it inside the number.</t>
        </is>
      </c>
    </row>
    <row r="32" ht="30" customHeight="1">
      <c r="B32" s="5" t="inlineStr">
        <is>
          <t>It also treats advertising as the only marketing cost. If you want the whole picture including organic sales, that is TACoS, which is a different and more forgiving number.</t>
        </is>
      </c>
    </row>
    <row r="34">
      <c r="B34" s="4" t="inlineStr">
        <is>
          <t>General information</t>
        </is>
      </c>
    </row>
    <row r="35" ht="45" customHeight="1">
      <c r="B35" s="5" t="inlineStr">
        <is>
          <t>Rates are those applying in 2026/27 for the UK. Amazon changes its fee schedule regularly, so check the referral percentage and fulfilment fee for your own category and size tier in Seller Central.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2"/>
  <sheetViews>
    <sheetView showGridLines="0" workbookViewId="0">
      <selection activeCell="A1" sqref="A1"/>
    </sheetView>
  </sheetViews>
  <sheetFormatPr baseColWidth="8" defaultRowHeight="15"/>
  <cols>
    <col width="34" customWidth="1" min="1" max="1"/>
    <col width="14" customWidth="1" min="2" max="2"/>
    <col width="62" customWidth="1" min="3" max="3"/>
  </cols>
  <sheetData>
    <row r="1">
      <c r="A1" s="1" t="inlineStr">
        <is>
          <t>ZAZEN TAX</t>
        </is>
      </c>
    </row>
    <row r="2">
      <c r="A2" s="2" t="inlineStr">
        <is>
          <t>One product, in detail</t>
        </is>
      </c>
    </row>
    <row r="3">
      <c r="A3" s="3" t="inlineStr">
        <is>
          <t>Change the yellow cells. Everything else follows.</t>
        </is>
      </c>
    </row>
    <row r="5" ht="19" customHeight="1">
      <c r="A5" s="6" t="inlineStr">
        <is>
          <t xml:space="preserve">  What you sell it for</t>
        </is>
      </c>
      <c r="B5" s="7" t="n"/>
      <c r="C5" s="7" t="n"/>
    </row>
    <row r="6">
      <c r="A6" s="8" t="inlineStr">
        <is>
          <t>Selling price, including VAT</t>
        </is>
      </c>
      <c r="B6" s="9" t="n">
        <v>24.99</v>
      </c>
      <c r="C6" s="10" t="inlineStr">
        <is>
          <t>What the buyer pays. This is the figure Amazon reports as sales, so it is what ACoS is measured against.</t>
        </is>
      </c>
    </row>
    <row r="7">
      <c r="A7" s="8" t="inlineStr">
        <is>
          <t>VAT rate</t>
        </is>
      </c>
      <c r="B7" s="11" t="n">
        <v>0.2</v>
      </c>
      <c r="C7" s="10" t="inlineStr">
        <is>
          <t>20% if you are registered, 0% if you are not.</t>
        </is>
      </c>
    </row>
    <row r="9" ht="19" customHeight="1">
      <c r="A9" s="6" t="inlineStr">
        <is>
          <t xml:space="preserve">  What it costs you</t>
        </is>
      </c>
      <c r="B9" s="7" t="n"/>
      <c r="C9" s="7" t="n"/>
    </row>
    <row r="10">
      <c r="A10" s="8" t="inlineStr">
        <is>
          <t>Landed cost per unit</t>
        </is>
      </c>
      <c r="B10" s="9" t="n">
        <v>8.52</v>
      </c>
      <c r="C10" s="10" t="inlineStr">
        <is>
          <t>Unit cost plus freight, duty, clearance and handling. Not the supplier invoice on its own.</t>
        </is>
      </c>
    </row>
    <row r="11">
      <c r="A11" s="8" t="inlineStr">
        <is>
          <t>Referral fee</t>
        </is>
      </c>
      <c r="B11" s="11" t="n">
        <v>0.15</v>
      </c>
      <c r="C11" s="10" t="inlineStr">
        <is>
          <t>Most categories are 15%. Charged on the full VAT-inclusive price, with a 25p minimum.</t>
        </is>
      </c>
    </row>
    <row r="12">
      <c r="A12" s="8" t="inlineStr">
        <is>
          <t>FBA fulfilment fee</t>
        </is>
      </c>
      <c r="B12" s="9" t="n">
        <v>3.05</v>
      </c>
      <c r="C12" s="10" t="inlineStr">
        <is>
          <t>Per unit, for your size tier. Use your own pick and pack cost if you fulfil it yourself.</t>
        </is>
      </c>
    </row>
    <row r="13">
      <c r="A13" s="8" t="inlineStr">
        <is>
          <t>Digital services fee</t>
        </is>
      </c>
      <c r="B13" s="11" t="n">
        <v>0.02</v>
      </c>
      <c r="C13" s="10" t="inlineStr">
        <is>
          <t>Charged on your Amazon fees rather than on the sale.</t>
        </is>
      </c>
    </row>
    <row r="14">
      <c r="A14" s="8" t="inlineStr">
        <is>
          <t>Other cost per unit</t>
        </is>
      </c>
      <c r="B14" s="9" t="n">
        <v>0.35</v>
      </c>
      <c r="C14" s="10" t="inlineStr">
        <is>
          <t>Prep, labelling, inbound shipping, and any allowance for returns.</t>
        </is>
      </c>
    </row>
    <row r="16" ht="19" customHeight="1">
      <c r="A16" s="6" t="inlineStr">
        <is>
          <t xml:space="preserve">  What you are actually paying</t>
        </is>
      </c>
      <c r="B16" s="7" t="n"/>
      <c r="C16" s="7" t="n"/>
    </row>
    <row r="17">
      <c r="A17" s="8" t="inlineStr">
        <is>
          <t>Your actual ACoS</t>
        </is>
      </c>
      <c r="B17" s="11" t="n">
        <v>0.28</v>
      </c>
      <c r="C17" s="10" t="inlineStr">
        <is>
          <t>What the campaigns are running at now.</t>
        </is>
      </c>
    </row>
    <row r="18">
      <c r="A18" s="8" t="inlineStr">
        <is>
          <t>Conversion rate</t>
        </is>
      </c>
      <c r="B18" s="11" t="n">
        <v>0.1</v>
      </c>
      <c r="C18" s="10" t="inlineStr">
        <is>
          <t>Sessions that become orders, used for the maximum click price.</t>
        </is>
      </c>
    </row>
    <row r="20" ht="19" customHeight="1">
      <c r="A20" s="6" t="inlineStr">
        <is>
          <t xml:space="preserve">  Where the price goes</t>
        </is>
      </c>
      <c r="B20" s="7" t="n"/>
      <c r="C20" s="7" t="n"/>
    </row>
    <row r="21">
      <c r="A21" s="8" t="inlineStr">
        <is>
          <t>Net revenue after VAT</t>
        </is>
      </c>
      <c r="B21" s="12">
        <f>IFERROR($B$6/(1+$B$7),0)</f>
        <v/>
      </c>
      <c r="C21" s="10" t="inlineStr">
        <is>
          <t>What is left once HMRC's share is out. Amazon still charges its fee on the figure above this one.</t>
        </is>
      </c>
    </row>
    <row r="22">
      <c r="A22" s="8" t="inlineStr">
        <is>
          <t>Landed cost</t>
        </is>
      </c>
      <c r="B22" s="12">
        <f>-$B$10</f>
        <v/>
      </c>
      <c r="C22" s="10" t="inlineStr"/>
    </row>
    <row r="23">
      <c r="A23" s="8" t="inlineStr">
        <is>
          <t>Referral fee</t>
        </is>
      </c>
      <c r="B23" s="12">
        <f>-(MAX($B$6*$B$11,0.25))</f>
        <v/>
      </c>
      <c r="C23" s="10" t="inlineStr">
        <is>
          <t>Charged on the gross price, which is why it is larger than a percentage of your net revenue.</t>
        </is>
      </c>
    </row>
    <row r="24">
      <c r="A24" s="8" t="inlineStr">
        <is>
          <t>FBA fulfilment fee</t>
        </is>
      </c>
      <c r="B24" s="12">
        <f>-$B$12</f>
        <v/>
      </c>
      <c r="C24" s="10" t="inlineStr"/>
    </row>
    <row r="25">
      <c r="A25" s="8" t="inlineStr">
        <is>
          <t>Digital services fee</t>
        </is>
      </c>
      <c r="B25" s="12">
        <f>-((MAX($B$6*$B$11,0.25)+$B$12)*$B$13)</f>
        <v/>
      </c>
      <c r="C25" s="10" t="inlineStr"/>
    </row>
    <row r="26">
      <c r="A26" s="8" t="inlineStr">
        <is>
          <t>Other cost per unit</t>
        </is>
      </c>
      <c r="B26" s="12">
        <f>-$B$14</f>
        <v/>
      </c>
      <c r="C26" s="10" t="inlineStr"/>
    </row>
    <row r="27">
      <c r="A27" s="13" t="inlineStr">
        <is>
          <t>Contribution before advertising</t>
        </is>
      </c>
      <c r="B27" s="12">
        <f>IFERROR($B$6/(1+$B$7),0)-$B$10-MAX($B$6*$B$11,0.25)-$B$12-((MAX($B$6*$B$11,0.25)+$B$12)*$B$13)-$B$14</f>
        <v/>
      </c>
      <c r="C27" s="10" t="inlineStr">
        <is>
          <t>The money available to pay for advertising and everything else.</t>
        </is>
      </c>
    </row>
    <row r="29" ht="19" customHeight="1">
      <c r="A29" s="6" t="inlineStr">
        <is>
          <t xml:space="preserve">  The answer</t>
        </is>
      </c>
      <c r="B29" s="7" t="n"/>
      <c r="C29" s="7" t="n"/>
    </row>
    <row r="30">
      <c r="A30" s="13" t="inlineStr">
        <is>
          <t>Break-even ACoS</t>
        </is>
      </c>
      <c r="B30" s="14">
        <f>IFERROR($B$27/$B$6,"")</f>
        <v/>
      </c>
      <c r="C30" s="10" t="inlineStr">
        <is>
          <t>Contribution as a percentage of the selling price. Spend more than this on advertising a unit and the unit loses money.</t>
        </is>
      </c>
    </row>
    <row r="31">
      <c r="A31" s="8" t="inlineStr">
        <is>
          <t>Break-even ROAS</t>
        </is>
      </c>
      <c r="B31" s="15">
        <f>IFERROR($B$6/$B$27,"")</f>
        <v/>
      </c>
      <c r="C31" s="10" t="inlineStr">
        <is>
          <t>The same number inverted, for anyone who thinks in ROAS.</t>
        </is>
      </c>
    </row>
    <row r="32">
      <c r="A32" s="8" t="inlineStr">
        <is>
          <t>Gross margin, for comparison</t>
        </is>
      </c>
      <c r="B32" s="16">
        <f>IFERROR((IFERROR($B$6/(1+$B$7),0)-$B$10)/$B$6,"")</f>
        <v/>
      </c>
      <c r="C32" s="10" t="inlineStr">
        <is>
          <t>Much higher, and the wrong thing to judge an ACoS against. It is before every Amazon fee.</t>
        </is>
      </c>
    </row>
    <row r="33">
      <c r="A33" s="8" t="inlineStr">
        <is>
          <t>Most you can pay for a click</t>
        </is>
      </c>
      <c r="B33" s="12">
        <f>IFERROR($B$27*$B$18,"")</f>
        <v/>
      </c>
      <c r="C33" s="10" t="inlineStr">
        <is>
          <t>Contribution multiplied by your conversion rate.</t>
        </is>
      </c>
    </row>
    <row r="34">
      <c r="A34" s="8" t="inlineStr">
        <is>
          <t>Advertising at your actual ACoS</t>
        </is>
      </c>
      <c r="B34" s="12">
        <f>$B$6*$B$17</f>
        <v/>
      </c>
      <c r="C34" s="10" t="inlineStr"/>
    </row>
    <row r="35">
      <c r="A35" s="8" t="inlineStr">
        <is>
          <t>Profit per unit after advertising</t>
        </is>
      </c>
      <c r="B35" s="12">
        <f>$B$27-$B$6*$B$17</f>
        <v/>
      </c>
      <c r="C35" s="10" t="inlineStr">
        <is>
          <t>Negative means every advertised sale of this product costs you money.</t>
        </is>
      </c>
    </row>
    <row r="36">
      <c r="A36" s="8" t="inlineStr">
        <is>
          <t>Headroom</t>
        </is>
      </c>
      <c r="B36" s="16">
        <f>IFERROR($B$30-$B$17,"")</f>
        <v/>
      </c>
      <c r="C36" s="10" t="inlineStr">
        <is>
          <t>How far your ACoS can rise before the unit stops paying. Negative means it already has.</t>
        </is>
      </c>
    </row>
    <row r="38" ht="19" customHeight="1">
      <c r="A38" s="6" t="inlineStr">
        <is>
          <t xml:space="preserve">  What VAT registration does to this</t>
        </is>
      </c>
      <c r="B38" s="7" t="n"/>
      <c r="C38" s="7" t="n"/>
    </row>
    <row r="39">
      <c r="A39" s="8" t="inlineStr">
        <is>
          <t>Break-even ACoS if you were not registered</t>
        </is>
      </c>
      <c r="B39" s="16">
        <f>IFERROR(($B$6-$B$10-MAX($B$6*$B$11,0.25)-$B$12-((MAX($B$6*$B$11,0.25)+$B$12)*$B$13)-$B$14)/$B$6,"")</f>
        <v/>
      </c>
      <c r="C39" s="10" t="inlineStr">
        <is>
          <t>Same product, same price, same fees, keeping the VAT. The difference between this and the figure above is what registering costs your advertising headroom.</t>
        </is>
      </c>
    </row>
    <row r="40">
      <c r="A40" s="8" t="inlineStr">
        <is>
          <t>The difference</t>
        </is>
      </c>
      <c r="B40" s="16">
        <f>IFERROR(($B$6-$B$10-MAX($B$6*$B$11,0.25)-$B$12-((MAX($B$6*$B$11,0.25)+$B$12)*$B$13)-$B$14)/$B$6-$B$30,"")</f>
        <v/>
      </c>
    </row>
    <row r="42">
      <c r="A42" s="17" t="inlineStr">
        <is>
          <t>Amazon changes its fee schedule regularly. Check the referral percentage and the fulfilment fee for your own category and size tier in Seller Central before relying on this.</t>
        </is>
      </c>
    </row>
  </sheetData>
  <mergeCells count="1">
    <mergeCell ref="A3:D3"/>
  </mergeCells>
  <conditionalFormatting sqref="B35">
    <cfRule type="cellIs" priority="1" operator="lessThan" dxfId="0">
      <formula>0</formula>
    </cfRule>
    <cfRule type="cellIs" priority="2" operator="greaterThanOrEqual" dxfId="1">
      <formula>0</formula>
    </cfRule>
  </conditionalFormatting>
  <conditionalFormatting sqref="B36">
    <cfRule type="cellIs" priority="3" operator="lessThan" dxfId="0">
      <formula>0</formula>
    </cfRule>
    <cfRule type="cellIs" priority="4"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33"/>
  <sheetViews>
    <sheetView showGridLines="0" workbookViewId="0">
      <pane ySplit="6" topLeftCell="A7" activePane="bottomLeft" state="frozen"/>
      <selection pane="bottomLeft" activeCell="A1" sqref="A1"/>
    </sheetView>
  </sheetViews>
  <sheetFormatPr baseColWidth="8" defaultRowHeight="15"/>
  <cols>
    <col width="22" customWidth="1" min="1" max="1"/>
    <col width="12" customWidth="1" min="2" max="2"/>
    <col width="12" customWidth="1" min="3" max="3"/>
    <col width="11" customWidth="1" min="4" max="4"/>
    <col width="10" customWidth="1" min="5" max="5"/>
    <col width="10" customWidth="1" min="6" max="6"/>
    <col width="12" customWidth="1" min="7" max="7"/>
    <col width="12" customWidth="1" min="8" max="8"/>
    <col width="13" customWidth="1" min="9" max="9"/>
    <col width="12" customWidth="1" min="10" max="10"/>
    <col width="15" customWidth="1" min="11" max="11"/>
    <col width="11" customWidth="1" min="12" max="12"/>
    <col width="13" customWidth="1" min="13" max="13"/>
    <col width="10" customWidth="1" min="14" max="14"/>
  </cols>
  <sheetData>
    <row r="1">
      <c r="A1" s="1" t="inlineStr">
        <is>
          <t>ZAZEN TAX</t>
        </is>
      </c>
    </row>
    <row r="2">
      <c r="A2" s="2" t="inlineStr">
        <is>
          <t>Ten products at once</t>
        </is>
      </c>
    </row>
    <row r="5">
      <c r="A5" s="3" t="inlineStr">
        <is>
          <t>VAT rate and digital services fee come from the calculator sheet, so change them once there.</t>
        </is>
      </c>
    </row>
    <row r="6" ht="26" customHeight="1">
      <c r="A6" s="18" t="inlineStr">
        <is>
          <t>Product</t>
        </is>
      </c>
      <c r="B6" s="18" t="inlineStr">
        <is>
          <t>Price inc VAT</t>
        </is>
      </c>
      <c r="C6" s="18" t="inlineStr">
        <is>
          <t>Landed cost</t>
        </is>
      </c>
      <c r="D6" s="18" t="inlineStr">
        <is>
          <t>Referral %</t>
        </is>
      </c>
      <c r="E6" s="18" t="inlineStr">
        <is>
          <t>FBA fee</t>
        </is>
      </c>
      <c r="F6" s="18" t="inlineStr">
        <is>
          <t>Other</t>
        </is>
      </c>
      <c r="G6" s="18" t="inlineStr">
        <is>
          <t>Actual ACoS</t>
        </is>
      </c>
      <c r="H6" s="18" t="inlineStr">
        <is>
          <t>Net revenue</t>
        </is>
      </c>
      <c r="I6" s="18" t="inlineStr">
        <is>
          <t>Amazon takes</t>
        </is>
      </c>
      <c r="J6" s="18" t="inlineStr">
        <is>
          <t>Contribution</t>
        </is>
      </c>
      <c r="K6" s="18" t="inlineStr">
        <is>
          <t>Break-even ACoS</t>
        </is>
      </c>
      <c r="L6" s="18" t="inlineStr">
        <is>
          <t>Headroom</t>
        </is>
      </c>
      <c r="M6" s="18" t="inlineStr">
        <is>
          <t>Profit per unit</t>
        </is>
      </c>
      <c r="N6" s="18" t="inlineStr">
        <is>
          <t>Rank key</t>
        </is>
      </c>
    </row>
    <row r="8">
      <c r="A8" s="19" t="inlineStr">
        <is>
          <t>Fluffy Jacket</t>
        </is>
      </c>
      <c r="B8" s="20" t="n">
        <v>24.99</v>
      </c>
      <c r="C8" s="20" t="n">
        <v>8.52</v>
      </c>
      <c r="D8" s="21" t="n">
        <v>0.15</v>
      </c>
      <c r="E8" s="20" t="n">
        <v>3.05</v>
      </c>
      <c r="F8" s="20" t="n">
        <v>0.35</v>
      </c>
      <c r="G8" s="21" t="n">
        <v>0.28</v>
      </c>
      <c r="H8" s="22">
        <f>IF($B8="","",IFERROR($B8/(1+'ACoS calculator'!$B$7),0))</f>
        <v/>
      </c>
      <c r="I8" s="22">
        <f>IF($B8="","",MAX($B8*$D8,0.25)+$E8+((MAX($B8*$D8,0.25)+$E8)*'ACoS calculator'!$B$13))</f>
        <v/>
      </c>
      <c r="J8" s="22">
        <f>IF($B8="","",IFERROR($B8/(1+'ACoS calculator'!$B$7),0)-$C8-(MAX($B8*$D8,0.25)+$E8+((MAX($B8*$D8,0.25)+$E8)*'ACoS calculator'!$B$13))-$F8)</f>
        <v/>
      </c>
      <c r="K8" s="23">
        <f>IF($B8="","",IFERROR((IFERROR($B8/(1+'ACoS calculator'!$B$7),0)-$C8-(MAX($B8*$D8,0.25)+$E8+((MAX($B8*$D8,0.25)+$E8)*'ACoS calculator'!$B$13))-$F8)/$B8,""))</f>
        <v/>
      </c>
      <c r="L8" s="23">
        <f>IF($B8="","",IFERROR((IFERROR($B8/(1+'ACoS calculator'!$B$7),0)-$C8-(MAX($B8*$D8,0.25)+$E8+((MAX($B8*$D8,0.25)+$E8)*'ACoS calculator'!$B$13))-$F8)/$B8-$G8,""))</f>
        <v/>
      </c>
      <c r="M8" s="22">
        <f>IF($B8="","",(IFERROR($B8/(1+'ACoS calculator'!$B$7),0)-$C8-(MAX($B8*$D8,0.25)+$E8+((MAX($B8*$D8,0.25)+$E8)*'ACoS calculator'!$B$13))-$F8)-$B8*$G8)</f>
        <v/>
      </c>
      <c r="N8" s="24">
        <f>IF($B8="","",$G8-IFERROR((IFERROR($B8/(1+'ACoS calculator'!$B$7),0)-$C8-(MAX($B8*$D8,0.25)+$E8+((MAX($B8*$D8,0.25)+$E8)*'ACoS calculator'!$B$13))-$F8)/$B8,0)-ROW()/1000000)</f>
        <v/>
      </c>
    </row>
    <row r="9">
      <c r="A9" s="19" t="inlineStr">
        <is>
          <t>Fluffy Socks</t>
        </is>
      </c>
      <c r="B9" s="20" t="n">
        <v>9.99</v>
      </c>
      <c r="C9" s="20" t="n">
        <v>2.1</v>
      </c>
      <c r="D9" s="21" t="n">
        <v>0.15</v>
      </c>
      <c r="E9" s="20" t="n">
        <v>2.35</v>
      </c>
      <c r="F9" s="20" t="n">
        <v>0.2</v>
      </c>
      <c r="G9" s="21" t="n">
        <v>0.22</v>
      </c>
      <c r="H9" s="22">
        <f>IF($B9="","",IFERROR($B9/(1+'ACoS calculator'!$B$7),0))</f>
        <v/>
      </c>
      <c r="I9" s="22">
        <f>IF($B9="","",MAX($B9*$D9,0.25)+$E9+((MAX($B9*$D9,0.25)+$E9)*'ACoS calculator'!$B$13))</f>
        <v/>
      </c>
      <c r="J9" s="22">
        <f>IF($B9="","",IFERROR($B9/(1+'ACoS calculator'!$B$7),0)-$C9-(MAX($B9*$D9,0.25)+$E9+((MAX($B9*$D9,0.25)+$E9)*'ACoS calculator'!$B$13))-$F9)</f>
        <v/>
      </c>
      <c r="K9" s="23">
        <f>IF($B9="","",IFERROR((IFERROR($B9/(1+'ACoS calculator'!$B$7),0)-$C9-(MAX($B9*$D9,0.25)+$E9+((MAX($B9*$D9,0.25)+$E9)*'ACoS calculator'!$B$13))-$F9)/$B9,""))</f>
        <v/>
      </c>
      <c r="L9" s="23">
        <f>IF($B9="","",IFERROR((IFERROR($B9/(1+'ACoS calculator'!$B$7),0)-$C9-(MAX($B9*$D9,0.25)+$E9+((MAX($B9*$D9,0.25)+$E9)*'ACoS calculator'!$B$13))-$F9)/$B9-$G9,""))</f>
        <v/>
      </c>
      <c r="M9" s="22">
        <f>IF($B9="","",(IFERROR($B9/(1+'ACoS calculator'!$B$7),0)-$C9-(MAX($B9*$D9,0.25)+$E9+((MAX($B9*$D9,0.25)+$E9)*'ACoS calculator'!$B$13))-$F9)-$B9*$G9)</f>
        <v/>
      </c>
      <c r="N9" s="24">
        <f>IF($B9="","",$G9-IFERROR((IFERROR($B9/(1+'ACoS calculator'!$B$7),0)-$C9-(MAX($B9*$D9,0.25)+$E9+((MAX($B9*$D9,0.25)+$E9)*'ACoS calculator'!$B$13))-$F9)/$B9,0)-ROW()/1000000)</f>
        <v/>
      </c>
    </row>
    <row r="10">
      <c r="A10" s="19" t="inlineStr">
        <is>
          <t>Puffy Toy</t>
        </is>
      </c>
      <c r="B10" s="20" t="n">
        <v>17.5</v>
      </c>
      <c r="C10" s="20" t="n">
        <v>5.4</v>
      </c>
      <c r="D10" s="21" t="n">
        <v>0.15</v>
      </c>
      <c r="E10" s="20" t="n">
        <v>2.85</v>
      </c>
      <c r="F10" s="20" t="n">
        <v>0.3</v>
      </c>
      <c r="G10" s="21" t="n">
        <v>0.14</v>
      </c>
      <c r="H10" s="22">
        <f>IF($B10="","",IFERROR($B10/(1+'ACoS calculator'!$B$7),0))</f>
        <v/>
      </c>
      <c r="I10" s="22">
        <f>IF($B10="","",MAX($B10*$D10,0.25)+$E10+((MAX($B10*$D10,0.25)+$E10)*'ACoS calculator'!$B$13))</f>
        <v/>
      </c>
      <c r="J10" s="22">
        <f>IF($B10="","",IFERROR($B10/(1+'ACoS calculator'!$B$7),0)-$C10-(MAX($B10*$D10,0.25)+$E10+((MAX($B10*$D10,0.25)+$E10)*'ACoS calculator'!$B$13))-$F10)</f>
        <v/>
      </c>
      <c r="K10" s="23">
        <f>IF($B10="","",IFERROR((IFERROR($B10/(1+'ACoS calculator'!$B$7),0)-$C10-(MAX($B10*$D10,0.25)+$E10+((MAX($B10*$D10,0.25)+$E10)*'ACoS calculator'!$B$13))-$F10)/$B10,""))</f>
        <v/>
      </c>
      <c r="L10" s="23">
        <f>IF($B10="","",IFERROR((IFERROR($B10/(1+'ACoS calculator'!$B$7),0)-$C10-(MAX($B10*$D10,0.25)+$E10+((MAX($B10*$D10,0.25)+$E10)*'ACoS calculator'!$B$13))-$F10)/$B10-$G10,""))</f>
        <v/>
      </c>
      <c r="M10" s="22">
        <f>IF($B10="","",(IFERROR($B10/(1+'ACoS calculator'!$B$7),0)-$C10-(MAX($B10*$D10,0.25)+$E10+((MAX($B10*$D10,0.25)+$E10)*'ACoS calculator'!$B$13))-$F10)-$B10*$G10)</f>
        <v/>
      </c>
      <c r="N10" s="24">
        <f>IF($B10="","",$G10-IFERROR((IFERROR($B10/(1+'ACoS calculator'!$B$7),0)-$C10-(MAX($B10*$D10,0.25)+$E10+((MAX($B10*$D10,0.25)+$E10)*'ACoS calculator'!$B$13))-$F10)/$B10,0)-ROW()/1000000)</f>
        <v/>
      </c>
    </row>
    <row r="11">
      <c r="A11" s="19" t="inlineStr">
        <is>
          <t>Teddy Bear</t>
        </is>
      </c>
      <c r="B11" s="20" t="n">
        <v>32</v>
      </c>
      <c r="C11" s="20" t="n">
        <v>9.800000000000001</v>
      </c>
      <c r="D11" s="21" t="n">
        <v>0.15</v>
      </c>
      <c r="E11" s="20" t="n">
        <v>3.6</v>
      </c>
      <c r="F11" s="20" t="n">
        <v>0.4</v>
      </c>
      <c r="G11" s="21" t="n">
        <v>0.19</v>
      </c>
      <c r="H11" s="22">
        <f>IF($B11="","",IFERROR($B11/(1+'ACoS calculator'!$B$7),0))</f>
        <v/>
      </c>
      <c r="I11" s="22">
        <f>IF($B11="","",MAX($B11*$D11,0.25)+$E11+((MAX($B11*$D11,0.25)+$E11)*'ACoS calculator'!$B$13))</f>
        <v/>
      </c>
      <c r="J11" s="22">
        <f>IF($B11="","",IFERROR($B11/(1+'ACoS calculator'!$B$7),0)-$C11-(MAX($B11*$D11,0.25)+$E11+((MAX($B11*$D11,0.25)+$E11)*'ACoS calculator'!$B$13))-$F11)</f>
        <v/>
      </c>
      <c r="K11" s="23">
        <f>IF($B11="","",IFERROR((IFERROR($B11/(1+'ACoS calculator'!$B$7),0)-$C11-(MAX($B11*$D11,0.25)+$E11+((MAX($B11*$D11,0.25)+$E11)*'ACoS calculator'!$B$13))-$F11)/$B11,""))</f>
        <v/>
      </c>
      <c r="L11" s="23">
        <f>IF($B11="","",IFERROR((IFERROR($B11/(1+'ACoS calculator'!$B$7),0)-$C11-(MAX($B11*$D11,0.25)+$E11+((MAX($B11*$D11,0.25)+$E11)*'ACoS calculator'!$B$13))-$F11)/$B11-$G11,""))</f>
        <v/>
      </c>
      <c r="M11" s="22">
        <f>IF($B11="","",(IFERROR($B11/(1+'ACoS calculator'!$B$7),0)-$C11-(MAX($B11*$D11,0.25)+$E11+((MAX($B11*$D11,0.25)+$E11)*'ACoS calculator'!$B$13))-$F11)-$B11*$G11)</f>
        <v/>
      </c>
      <c r="N11" s="24">
        <f>IF($B11="","",$G11-IFERROR((IFERROR($B11/(1+'ACoS calculator'!$B$7),0)-$C11-(MAX($B11*$D11,0.25)+$E11+((MAX($B11*$D11,0.25)+$E11)*'ACoS calculator'!$B$13))-$F11)/$B11,0)-ROW()/1000000)</f>
        <v/>
      </c>
    </row>
    <row r="12">
      <c r="A12" s="19" t="inlineStr">
        <is>
          <t>Ceramic Mug Set</t>
        </is>
      </c>
      <c r="B12" s="20" t="n">
        <v>28.5</v>
      </c>
      <c r="C12" s="20" t="n">
        <v>9.15</v>
      </c>
      <c r="D12" s="21" t="n">
        <v>0.15</v>
      </c>
      <c r="E12" s="20" t="n">
        <v>3.35</v>
      </c>
      <c r="F12" s="20" t="n">
        <v>0.35</v>
      </c>
      <c r="G12" s="21" t="n">
        <v>0.31</v>
      </c>
      <c r="H12" s="22">
        <f>IF($B12="","",IFERROR($B12/(1+'ACoS calculator'!$B$7),0))</f>
        <v/>
      </c>
      <c r="I12" s="22">
        <f>IF($B12="","",MAX($B12*$D12,0.25)+$E12+((MAX($B12*$D12,0.25)+$E12)*'ACoS calculator'!$B$13))</f>
        <v/>
      </c>
      <c r="J12" s="22">
        <f>IF($B12="","",IFERROR($B12/(1+'ACoS calculator'!$B$7),0)-$C12-(MAX($B12*$D12,0.25)+$E12+((MAX($B12*$D12,0.25)+$E12)*'ACoS calculator'!$B$13))-$F12)</f>
        <v/>
      </c>
      <c r="K12" s="23">
        <f>IF($B12="","",IFERROR((IFERROR($B12/(1+'ACoS calculator'!$B$7),0)-$C12-(MAX($B12*$D12,0.25)+$E12+((MAX($B12*$D12,0.25)+$E12)*'ACoS calculator'!$B$13))-$F12)/$B12,""))</f>
        <v/>
      </c>
      <c r="L12" s="23">
        <f>IF($B12="","",IFERROR((IFERROR($B12/(1+'ACoS calculator'!$B$7),0)-$C12-(MAX($B12*$D12,0.25)+$E12+((MAX($B12*$D12,0.25)+$E12)*'ACoS calculator'!$B$13))-$F12)/$B12-$G12,""))</f>
        <v/>
      </c>
      <c r="M12" s="22">
        <f>IF($B12="","",(IFERROR($B12/(1+'ACoS calculator'!$B$7),0)-$C12-(MAX($B12*$D12,0.25)+$E12+((MAX($B12*$D12,0.25)+$E12)*'ACoS calculator'!$B$13))-$F12)-$B12*$G12)</f>
        <v/>
      </c>
      <c r="N12" s="24">
        <f>IF($B12="","",$G12-IFERROR((IFERROR($B12/(1+'ACoS calculator'!$B$7),0)-$C12-(MAX($B12*$D12,0.25)+$E12+((MAX($B12*$D12,0.25)+$E12)*'ACoS calculator'!$B$13))-$F12)/$B12,0)-ROW()/1000000)</f>
        <v/>
      </c>
    </row>
    <row r="13">
      <c r="A13" s="19" t="inlineStr">
        <is>
          <t>Linen Cushion</t>
        </is>
      </c>
      <c r="B13" s="20" t="n">
        <v>21</v>
      </c>
      <c r="C13" s="20" t="n">
        <v>6.9</v>
      </c>
      <c r="D13" s="21" t="n">
        <v>0.15</v>
      </c>
      <c r="E13" s="20" t="n">
        <v>2.95</v>
      </c>
      <c r="F13" s="20" t="n">
        <v>0.3</v>
      </c>
      <c r="G13" s="21" t="n">
        <v>0.17</v>
      </c>
      <c r="H13" s="22">
        <f>IF($B13="","",IFERROR($B13/(1+'ACoS calculator'!$B$7),0))</f>
        <v/>
      </c>
      <c r="I13" s="22">
        <f>IF($B13="","",MAX($B13*$D13,0.25)+$E13+((MAX($B13*$D13,0.25)+$E13)*'ACoS calculator'!$B$13))</f>
        <v/>
      </c>
      <c r="J13" s="22">
        <f>IF($B13="","",IFERROR($B13/(1+'ACoS calculator'!$B$7),0)-$C13-(MAX($B13*$D13,0.25)+$E13+((MAX($B13*$D13,0.25)+$E13)*'ACoS calculator'!$B$13))-$F13)</f>
        <v/>
      </c>
      <c r="K13" s="23">
        <f>IF($B13="","",IFERROR((IFERROR($B13/(1+'ACoS calculator'!$B$7),0)-$C13-(MAX($B13*$D13,0.25)+$E13+((MAX($B13*$D13,0.25)+$E13)*'ACoS calculator'!$B$13))-$F13)/$B13,""))</f>
        <v/>
      </c>
      <c r="L13" s="23">
        <f>IF($B13="","",IFERROR((IFERROR($B13/(1+'ACoS calculator'!$B$7),0)-$C13-(MAX($B13*$D13,0.25)+$E13+((MAX($B13*$D13,0.25)+$E13)*'ACoS calculator'!$B$13))-$F13)/$B13-$G13,""))</f>
        <v/>
      </c>
      <c r="M13" s="22">
        <f>IF($B13="","",(IFERROR($B13/(1+'ACoS calculator'!$B$7),0)-$C13-(MAX($B13*$D13,0.25)+$E13+((MAX($B13*$D13,0.25)+$E13)*'ACoS calculator'!$B$13))-$F13)-$B13*$G13)</f>
        <v/>
      </c>
      <c r="N13" s="24">
        <f>IF($B13="","",$G13-IFERROR((IFERROR($B13/(1+'ACoS calculator'!$B$7),0)-$C13-(MAX($B13*$D13,0.25)+$E13+((MAX($B13*$D13,0.25)+$E13)*'ACoS calculator'!$B$13))-$F13)/$B13,0)-ROW()/1000000)</f>
        <v/>
      </c>
    </row>
    <row r="14">
      <c r="A14" s="19" t="inlineStr">
        <is>
          <t>Scented Candle</t>
        </is>
      </c>
      <c r="B14" s="20" t="n">
        <v>14.95</v>
      </c>
      <c r="C14" s="20" t="n">
        <v>4.2</v>
      </c>
      <c r="D14" s="21" t="n">
        <v>0.15</v>
      </c>
      <c r="E14" s="20" t="n">
        <v>2.6</v>
      </c>
      <c r="F14" s="20" t="n">
        <v>0.25</v>
      </c>
      <c r="G14" s="21" t="n">
        <v>0.26</v>
      </c>
      <c r="H14" s="22">
        <f>IF($B14="","",IFERROR($B14/(1+'ACoS calculator'!$B$7),0))</f>
        <v/>
      </c>
      <c r="I14" s="22">
        <f>IF($B14="","",MAX($B14*$D14,0.25)+$E14+((MAX($B14*$D14,0.25)+$E14)*'ACoS calculator'!$B$13))</f>
        <v/>
      </c>
      <c r="J14" s="22">
        <f>IF($B14="","",IFERROR($B14/(1+'ACoS calculator'!$B$7),0)-$C14-(MAX($B14*$D14,0.25)+$E14+((MAX($B14*$D14,0.25)+$E14)*'ACoS calculator'!$B$13))-$F14)</f>
        <v/>
      </c>
      <c r="K14" s="23">
        <f>IF($B14="","",IFERROR((IFERROR($B14/(1+'ACoS calculator'!$B$7),0)-$C14-(MAX($B14*$D14,0.25)+$E14+((MAX($B14*$D14,0.25)+$E14)*'ACoS calculator'!$B$13))-$F14)/$B14,""))</f>
        <v/>
      </c>
      <c r="L14" s="23">
        <f>IF($B14="","",IFERROR((IFERROR($B14/(1+'ACoS calculator'!$B$7),0)-$C14-(MAX($B14*$D14,0.25)+$E14+((MAX($B14*$D14,0.25)+$E14)*'ACoS calculator'!$B$13))-$F14)/$B14-$G14,""))</f>
        <v/>
      </c>
      <c r="M14" s="22">
        <f>IF($B14="","",(IFERROR($B14/(1+'ACoS calculator'!$B$7),0)-$C14-(MAX($B14*$D14,0.25)+$E14+((MAX($B14*$D14,0.25)+$E14)*'ACoS calculator'!$B$13))-$F14)-$B14*$G14)</f>
        <v/>
      </c>
      <c r="N14" s="24">
        <f>IF($B14="","",$G14-IFERROR((IFERROR($B14/(1+'ACoS calculator'!$B$7),0)-$C14-(MAX($B14*$D14,0.25)+$E14+((MAX($B14*$D14,0.25)+$E14)*'ACoS calculator'!$B$13))-$F14)/$B14,0)-ROW()/1000000)</f>
        <v/>
      </c>
    </row>
    <row r="15">
      <c r="A15" s="19" t="inlineStr">
        <is>
          <t>Wool Throw</t>
        </is>
      </c>
      <c r="B15" s="20" t="n">
        <v>45</v>
      </c>
      <c r="C15" s="20" t="n">
        <v>15.6</v>
      </c>
      <c r="D15" s="21" t="n">
        <v>0.15</v>
      </c>
      <c r="E15" s="20" t="n">
        <v>4.4</v>
      </c>
      <c r="F15" s="20" t="n">
        <v>0.55</v>
      </c>
      <c r="G15" s="21" t="n">
        <v>0.11</v>
      </c>
      <c r="H15" s="22">
        <f>IF($B15="","",IFERROR($B15/(1+'ACoS calculator'!$B$7),0))</f>
        <v/>
      </c>
      <c r="I15" s="22">
        <f>IF($B15="","",MAX($B15*$D15,0.25)+$E15+((MAX($B15*$D15,0.25)+$E15)*'ACoS calculator'!$B$13))</f>
        <v/>
      </c>
      <c r="J15" s="22">
        <f>IF($B15="","",IFERROR($B15/(1+'ACoS calculator'!$B$7),0)-$C15-(MAX($B15*$D15,0.25)+$E15+((MAX($B15*$D15,0.25)+$E15)*'ACoS calculator'!$B$13))-$F15)</f>
        <v/>
      </c>
      <c r="K15" s="23">
        <f>IF($B15="","",IFERROR((IFERROR($B15/(1+'ACoS calculator'!$B$7),0)-$C15-(MAX($B15*$D15,0.25)+$E15+((MAX($B15*$D15,0.25)+$E15)*'ACoS calculator'!$B$13))-$F15)/$B15,""))</f>
        <v/>
      </c>
      <c r="L15" s="23">
        <f>IF($B15="","",IFERROR((IFERROR($B15/(1+'ACoS calculator'!$B$7),0)-$C15-(MAX($B15*$D15,0.25)+$E15+((MAX($B15*$D15,0.25)+$E15)*'ACoS calculator'!$B$13))-$F15)/$B15-$G15,""))</f>
        <v/>
      </c>
      <c r="M15" s="22">
        <f>IF($B15="","",(IFERROR($B15/(1+'ACoS calculator'!$B$7),0)-$C15-(MAX($B15*$D15,0.25)+$E15+((MAX($B15*$D15,0.25)+$E15)*'ACoS calculator'!$B$13))-$F15)-$B15*$G15)</f>
        <v/>
      </c>
      <c r="N15" s="24">
        <f>IF($B15="","",$G15-IFERROR((IFERROR($B15/(1+'ACoS calculator'!$B$7),0)-$C15-(MAX($B15*$D15,0.25)+$E15+((MAX($B15*$D15,0.25)+$E15)*'ACoS calculator'!$B$13))-$F15)/$B15,0)-ROW()/1000000)</f>
        <v/>
      </c>
    </row>
    <row r="16">
      <c r="A16" s="19" t="inlineStr">
        <is>
          <t>Glass Vase</t>
        </is>
      </c>
      <c r="B16" s="20" t="n">
        <v>19.99</v>
      </c>
      <c r="C16" s="20" t="n">
        <v>7.85</v>
      </c>
      <c r="D16" s="21" t="n">
        <v>0.15</v>
      </c>
      <c r="E16" s="20" t="n">
        <v>3.1</v>
      </c>
      <c r="F16" s="20" t="n">
        <v>0.45</v>
      </c>
      <c r="G16" s="21" t="n">
        <v>0.2</v>
      </c>
      <c r="H16" s="22">
        <f>IF($B16="","",IFERROR($B16/(1+'ACoS calculator'!$B$7),0))</f>
        <v/>
      </c>
      <c r="I16" s="22">
        <f>IF($B16="","",MAX($B16*$D16,0.25)+$E16+((MAX($B16*$D16,0.25)+$E16)*'ACoS calculator'!$B$13))</f>
        <v/>
      </c>
      <c r="J16" s="22">
        <f>IF($B16="","",IFERROR($B16/(1+'ACoS calculator'!$B$7),0)-$C16-(MAX($B16*$D16,0.25)+$E16+((MAX($B16*$D16,0.25)+$E16)*'ACoS calculator'!$B$13))-$F16)</f>
        <v/>
      </c>
      <c r="K16" s="23">
        <f>IF($B16="","",IFERROR((IFERROR($B16/(1+'ACoS calculator'!$B$7),0)-$C16-(MAX($B16*$D16,0.25)+$E16+((MAX($B16*$D16,0.25)+$E16)*'ACoS calculator'!$B$13))-$F16)/$B16,""))</f>
        <v/>
      </c>
      <c r="L16" s="23">
        <f>IF($B16="","",IFERROR((IFERROR($B16/(1+'ACoS calculator'!$B$7),0)-$C16-(MAX($B16*$D16,0.25)+$E16+((MAX($B16*$D16,0.25)+$E16)*'ACoS calculator'!$B$13))-$F16)/$B16-$G16,""))</f>
        <v/>
      </c>
      <c r="M16" s="22">
        <f>IF($B16="","",(IFERROR($B16/(1+'ACoS calculator'!$B$7),0)-$C16-(MAX($B16*$D16,0.25)+$E16+((MAX($B16*$D16,0.25)+$E16)*'ACoS calculator'!$B$13))-$F16)-$B16*$G16)</f>
        <v/>
      </c>
      <c r="N16" s="24">
        <f>IF($B16="","",$G16-IFERROR((IFERROR($B16/(1+'ACoS calculator'!$B$7),0)-$C16-(MAX($B16*$D16,0.25)+$E16+((MAX($B16*$D16,0.25)+$E16)*'ACoS calculator'!$B$13))-$F16)/$B16,0)-ROW()/1000000)</f>
        <v/>
      </c>
    </row>
    <row r="17">
      <c r="A17" s="19" t="inlineStr">
        <is>
          <t>Storage Basket</t>
        </is>
      </c>
      <c r="B17" s="20" t="n">
        <v>26.5</v>
      </c>
      <c r="C17" s="20" t="n">
        <v>11.2</v>
      </c>
      <c r="D17" s="21" t="n">
        <v>0.15</v>
      </c>
      <c r="E17" s="20" t="n">
        <v>3.95</v>
      </c>
      <c r="F17" s="20" t="n">
        <v>0.4</v>
      </c>
      <c r="G17" s="21" t="n">
        <v>0.24</v>
      </c>
      <c r="H17" s="22">
        <f>IF($B17="","",IFERROR($B17/(1+'ACoS calculator'!$B$7),0))</f>
        <v/>
      </c>
      <c r="I17" s="22">
        <f>IF($B17="","",MAX($B17*$D17,0.25)+$E17+((MAX($B17*$D17,0.25)+$E17)*'ACoS calculator'!$B$13))</f>
        <v/>
      </c>
      <c r="J17" s="22">
        <f>IF($B17="","",IFERROR($B17/(1+'ACoS calculator'!$B$7),0)-$C17-(MAX($B17*$D17,0.25)+$E17+((MAX($B17*$D17,0.25)+$E17)*'ACoS calculator'!$B$13))-$F17)</f>
        <v/>
      </c>
      <c r="K17" s="23">
        <f>IF($B17="","",IFERROR((IFERROR($B17/(1+'ACoS calculator'!$B$7),0)-$C17-(MAX($B17*$D17,0.25)+$E17+((MAX($B17*$D17,0.25)+$E17)*'ACoS calculator'!$B$13))-$F17)/$B17,""))</f>
        <v/>
      </c>
      <c r="L17" s="23">
        <f>IF($B17="","",IFERROR((IFERROR($B17/(1+'ACoS calculator'!$B$7),0)-$C17-(MAX($B17*$D17,0.25)+$E17+((MAX($B17*$D17,0.25)+$E17)*'ACoS calculator'!$B$13))-$F17)/$B17-$G17,""))</f>
        <v/>
      </c>
      <c r="M17" s="22">
        <f>IF($B17="","",(IFERROR($B17/(1+'ACoS calculator'!$B$7),0)-$C17-(MAX($B17*$D17,0.25)+$E17+((MAX($B17*$D17,0.25)+$E17)*'ACoS calculator'!$B$13))-$F17)-$B17*$G17)</f>
        <v/>
      </c>
      <c r="N17" s="24">
        <f>IF($B17="","",$G17-IFERROR((IFERROR($B17/(1+'ACoS calculator'!$B$7),0)-$C17-(MAX($B17*$D17,0.25)+$E17+((MAX($B17*$D17,0.25)+$E17)*'ACoS calculator'!$B$13))-$F17)/$B17,0)-ROW()/1000000)</f>
        <v/>
      </c>
    </row>
    <row r="20" ht="19" customHeight="1">
      <c r="A20" s="6" t="inlineStr">
        <is>
          <t xml:space="preserve">  Worst first: where advertising is costing you most</t>
        </is>
      </c>
      <c r="B20" s="7" t="n"/>
      <c r="C20" s="7" t="n"/>
      <c r="D20" s="7" t="n"/>
      <c r="E20" s="7" t="n"/>
      <c r="F20" s="7" t="n"/>
      <c r="G20" s="7" t="n"/>
      <c r="H20" s="7" t="n"/>
      <c r="I20" s="7" t="n"/>
      <c r="J20" s="7" t="n"/>
      <c r="K20" s="7" t="n"/>
      <c r="L20" s="7" t="n"/>
      <c r="M20" s="7" t="n"/>
      <c r="N20" s="7" t="n"/>
    </row>
    <row r="21">
      <c r="A21" s="25" t="inlineStr">
        <is>
          <t>Rank</t>
        </is>
      </c>
      <c r="B21" s="25" t="inlineStr">
        <is>
          <t>Product</t>
        </is>
      </c>
      <c r="C21" s="25" t="inlineStr">
        <is>
          <t>Paying</t>
        </is>
      </c>
      <c r="D21" s="25" t="inlineStr">
        <is>
          <t>Can afford</t>
        </is>
      </c>
      <c r="E21" s="25" t="inlineStr">
        <is>
          <t>Overspend</t>
        </is>
      </c>
      <c r="F21" s="25" t="inlineStr">
        <is>
          <t>Profit per unit</t>
        </is>
      </c>
    </row>
    <row r="22">
      <c r="A22" s="8" t="n">
        <v>1</v>
      </c>
      <c r="B22" s="26">
        <f>IFERROR(INDEX($A$8:$A$17,MATCH(LARGE($N$8:$N$17,1),$N$8:$N$17,0)),"")</f>
        <v/>
      </c>
      <c r="C22" s="23">
        <f>IFERROR(INDEX($G$8:$G$17,MATCH(LARGE($N$8:$N$17,1),$N$8:$N$17,0)),"")</f>
        <v/>
      </c>
      <c r="D22" s="23">
        <f>IFERROR(INDEX($K$8:$K$17,MATCH(LARGE($N$8:$N$17,1),$N$8:$N$17,0)),"")</f>
        <v/>
      </c>
      <c r="E22" s="23">
        <f>IFERROR(INDEX($L$8:$L$17,MATCH(LARGE($N$8:$N$17,1),$N$8:$N$17,0)),"")</f>
        <v/>
      </c>
      <c r="F22" s="22">
        <f>IFERROR(INDEX($M$8:$M$17,MATCH(LARGE($N$8:$N$17,1),$N$8:$N$17,0)),"")</f>
        <v/>
      </c>
    </row>
    <row r="23">
      <c r="A23" s="8" t="n">
        <v>2</v>
      </c>
      <c r="B23" s="26">
        <f>IFERROR(INDEX($A$8:$A$17,MATCH(LARGE($N$8:$N$17,2),$N$8:$N$17,0)),"")</f>
        <v/>
      </c>
      <c r="C23" s="23">
        <f>IFERROR(INDEX($G$8:$G$17,MATCH(LARGE($N$8:$N$17,2),$N$8:$N$17,0)),"")</f>
        <v/>
      </c>
      <c r="D23" s="23">
        <f>IFERROR(INDEX($K$8:$K$17,MATCH(LARGE($N$8:$N$17,2),$N$8:$N$17,0)),"")</f>
        <v/>
      </c>
      <c r="E23" s="23">
        <f>IFERROR(INDEX($L$8:$L$17,MATCH(LARGE($N$8:$N$17,2),$N$8:$N$17,0)),"")</f>
        <v/>
      </c>
      <c r="F23" s="22">
        <f>IFERROR(INDEX($M$8:$M$17,MATCH(LARGE($N$8:$N$17,2),$N$8:$N$17,0)),"")</f>
        <v/>
      </c>
    </row>
    <row r="24">
      <c r="A24" s="8" t="n">
        <v>3</v>
      </c>
      <c r="B24" s="26">
        <f>IFERROR(INDEX($A$8:$A$17,MATCH(LARGE($N$8:$N$17,3),$N$8:$N$17,0)),"")</f>
        <v/>
      </c>
      <c r="C24" s="23">
        <f>IFERROR(INDEX($G$8:$G$17,MATCH(LARGE($N$8:$N$17,3),$N$8:$N$17,0)),"")</f>
        <v/>
      </c>
      <c r="D24" s="23">
        <f>IFERROR(INDEX($K$8:$K$17,MATCH(LARGE($N$8:$N$17,3),$N$8:$N$17,0)),"")</f>
        <v/>
      </c>
      <c r="E24" s="23">
        <f>IFERROR(INDEX($L$8:$L$17,MATCH(LARGE($N$8:$N$17,3),$N$8:$N$17,0)),"")</f>
        <v/>
      </c>
      <c r="F24" s="22">
        <f>IFERROR(INDEX($M$8:$M$17,MATCH(LARGE($N$8:$N$17,3),$N$8:$N$17,0)),"")</f>
        <v/>
      </c>
    </row>
    <row r="25">
      <c r="A25" s="8" t="n">
        <v>4</v>
      </c>
      <c r="B25" s="26">
        <f>IFERROR(INDEX($A$8:$A$17,MATCH(LARGE($N$8:$N$17,4),$N$8:$N$17,0)),"")</f>
        <v/>
      </c>
      <c r="C25" s="23">
        <f>IFERROR(INDEX($G$8:$G$17,MATCH(LARGE($N$8:$N$17,4),$N$8:$N$17,0)),"")</f>
        <v/>
      </c>
      <c r="D25" s="23">
        <f>IFERROR(INDEX($K$8:$K$17,MATCH(LARGE($N$8:$N$17,4),$N$8:$N$17,0)),"")</f>
        <v/>
      </c>
      <c r="E25" s="23">
        <f>IFERROR(INDEX($L$8:$L$17,MATCH(LARGE($N$8:$N$17,4),$N$8:$N$17,0)),"")</f>
        <v/>
      </c>
      <c r="F25" s="22">
        <f>IFERROR(INDEX($M$8:$M$17,MATCH(LARGE($N$8:$N$17,4),$N$8:$N$17,0)),"")</f>
        <v/>
      </c>
    </row>
    <row r="26">
      <c r="A26" s="8" t="n">
        <v>5</v>
      </c>
      <c r="B26" s="26">
        <f>IFERROR(INDEX($A$8:$A$17,MATCH(LARGE($N$8:$N$17,5),$N$8:$N$17,0)),"")</f>
        <v/>
      </c>
      <c r="C26" s="23">
        <f>IFERROR(INDEX($G$8:$G$17,MATCH(LARGE($N$8:$N$17,5),$N$8:$N$17,0)),"")</f>
        <v/>
      </c>
      <c r="D26" s="23">
        <f>IFERROR(INDEX($K$8:$K$17,MATCH(LARGE($N$8:$N$17,5),$N$8:$N$17,0)),"")</f>
        <v/>
      </c>
      <c r="E26" s="23">
        <f>IFERROR(INDEX($L$8:$L$17,MATCH(LARGE($N$8:$N$17,5),$N$8:$N$17,0)),"")</f>
        <v/>
      </c>
      <c r="F26" s="22">
        <f>IFERROR(INDEX($M$8:$M$17,MATCH(LARGE($N$8:$N$17,5),$N$8:$N$17,0)),"")</f>
        <v/>
      </c>
    </row>
    <row r="27">
      <c r="A27" s="8" t="n">
        <v>6</v>
      </c>
      <c r="B27" s="26">
        <f>IFERROR(INDEX($A$8:$A$17,MATCH(LARGE($N$8:$N$17,6),$N$8:$N$17,0)),"")</f>
        <v/>
      </c>
      <c r="C27" s="23">
        <f>IFERROR(INDEX($G$8:$G$17,MATCH(LARGE($N$8:$N$17,6),$N$8:$N$17,0)),"")</f>
        <v/>
      </c>
      <c r="D27" s="23">
        <f>IFERROR(INDEX($K$8:$K$17,MATCH(LARGE($N$8:$N$17,6),$N$8:$N$17,0)),"")</f>
        <v/>
      </c>
      <c r="E27" s="23">
        <f>IFERROR(INDEX($L$8:$L$17,MATCH(LARGE($N$8:$N$17,6),$N$8:$N$17,0)),"")</f>
        <v/>
      </c>
      <c r="F27" s="22">
        <f>IFERROR(INDEX($M$8:$M$17,MATCH(LARGE($N$8:$N$17,6),$N$8:$N$17,0)),"")</f>
        <v/>
      </c>
    </row>
    <row r="28">
      <c r="A28" s="8" t="n">
        <v>7</v>
      </c>
      <c r="B28" s="26">
        <f>IFERROR(INDEX($A$8:$A$17,MATCH(LARGE($N$8:$N$17,7),$N$8:$N$17,0)),"")</f>
        <v/>
      </c>
      <c r="C28" s="23">
        <f>IFERROR(INDEX($G$8:$G$17,MATCH(LARGE($N$8:$N$17,7),$N$8:$N$17,0)),"")</f>
        <v/>
      </c>
      <c r="D28" s="23">
        <f>IFERROR(INDEX($K$8:$K$17,MATCH(LARGE($N$8:$N$17,7),$N$8:$N$17,0)),"")</f>
        <v/>
      </c>
      <c r="E28" s="23">
        <f>IFERROR(INDEX($L$8:$L$17,MATCH(LARGE($N$8:$N$17,7),$N$8:$N$17,0)),"")</f>
        <v/>
      </c>
      <c r="F28" s="22">
        <f>IFERROR(INDEX($M$8:$M$17,MATCH(LARGE($N$8:$N$17,7),$N$8:$N$17,0)),"")</f>
        <v/>
      </c>
    </row>
    <row r="29">
      <c r="A29" s="8" t="n">
        <v>8</v>
      </c>
      <c r="B29" s="26">
        <f>IFERROR(INDEX($A$8:$A$17,MATCH(LARGE($N$8:$N$17,8),$N$8:$N$17,0)),"")</f>
        <v/>
      </c>
      <c r="C29" s="23">
        <f>IFERROR(INDEX($G$8:$G$17,MATCH(LARGE($N$8:$N$17,8),$N$8:$N$17,0)),"")</f>
        <v/>
      </c>
      <c r="D29" s="23">
        <f>IFERROR(INDEX($K$8:$K$17,MATCH(LARGE($N$8:$N$17,8),$N$8:$N$17,0)),"")</f>
        <v/>
      </c>
      <c r="E29" s="23">
        <f>IFERROR(INDEX($L$8:$L$17,MATCH(LARGE($N$8:$N$17,8),$N$8:$N$17,0)),"")</f>
        <v/>
      </c>
      <c r="F29" s="22">
        <f>IFERROR(INDEX($M$8:$M$17,MATCH(LARGE($N$8:$N$17,8),$N$8:$N$17,0)),"")</f>
        <v/>
      </c>
    </row>
    <row r="30">
      <c r="A30" s="8" t="n">
        <v>9</v>
      </c>
      <c r="B30" s="26">
        <f>IFERROR(INDEX($A$8:$A$17,MATCH(LARGE($N$8:$N$17,9),$N$8:$N$17,0)),"")</f>
        <v/>
      </c>
      <c r="C30" s="23">
        <f>IFERROR(INDEX($G$8:$G$17,MATCH(LARGE($N$8:$N$17,9),$N$8:$N$17,0)),"")</f>
        <v/>
      </c>
      <c r="D30" s="23">
        <f>IFERROR(INDEX($K$8:$K$17,MATCH(LARGE($N$8:$N$17,9),$N$8:$N$17,0)),"")</f>
        <v/>
      </c>
      <c r="E30" s="23">
        <f>IFERROR(INDEX($L$8:$L$17,MATCH(LARGE($N$8:$N$17,9),$N$8:$N$17,0)),"")</f>
        <v/>
      </c>
      <c r="F30" s="22">
        <f>IFERROR(INDEX($M$8:$M$17,MATCH(LARGE($N$8:$N$17,9),$N$8:$N$17,0)),"")</f>
        <v/>
      </c>
    </row>
    <row r="31">
      <c r="A31" s="8" t="n">
        <v>10</v>
      </c>
      <c r="B31" s="26">
        <f>IFERROR(INDEX($A$8:$A$17,MATCH(LARGE($N$8:$N$17,10),$N$8:$N$17,0)),"")</f>
        <v/>
      </c>
      <c r="C31" s="23">
        <f>IFERROR(INDEX($G$8:$G$17,MATCH(LARGE($N$8:$N$17,10),$N$8:$N$17,0)),"")</f>
        <v/>
      </c>
      <c r="D31" s="23">
        <f>IFERROR(INDEX($K$8:$K$17,MATCH(LARGE($N$8:$N$17,10),$N$8:$N$17,0)),"")</f>
        <v/>
      </c>
      <c r="E31" s="23">
        <f>IFERROR(INDEX($L$8:$L$17,MATCH(LARGE($N$8:$N$17,10),$N$8:$N$17,0)),"")</f>
        <v/>
      </c>
      <c r="F31" s="22">
        <f>IFERROR(INDEX($M$8:$M$17,MATCH(LARGE($N$8:$N$17,10),$N$8:$N$17,0)),"")</f>
        <v/>
      </c>
    </row>
    <row r="33">
      <c r="A33" s="17" t="inlineStr">
        <is>
          <t>Overspend is the ACoS you are paying less the ACoS the product can carry. Anything above zero is a product where every advertised sale costs you money, and the list is ordered so the most expensive one is at the top.</t>
        </is>
      </c>
    </row>
  </sheetData>
  <conditionalFormatting sqref="E22:E31">
    <cfRule type="cellIs" priority="1" operator="greaterThan" dxfId="0">
      <formula>0</formula>
    </cfRule>
    <cfRule type="cellIs" priority="2" operator="lessThanOrEqual" dxfId="1">
      <formula>0</formula>
    </cfRule>
  </conditionalFormatting>
  <conditionalFormatting sqref="L8:L17">
    <cfRule type="cellIs" priority="3" operator="lessThan" dxfId="0">
      <formula>0</formula>
    </cfRule>
  </conditionalFormatting>
  <conditionalFormatting sqref="M8:M17">
    <cfRule type="cellIs" priority="4"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2026-08-09T07:57:00Z</dcterms:created>
  <dcterms:modified xmlns:dcterms="http://purl.org/dc/terms/" xmlns:xsi="http://www.w3.org/2001/XMLSchema-instance" xsi:type="dcterms:W3CDTF">2026-08-09T07:57:00Z</dcterms:modified>
</cp:coreProperties>
</file>