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ates" sheetId="2" state="visible" r:id="rId2"/>
    <sheet xmlns:r="http://schemas.openxmlformats.org/officeDocument/2006/relationships" name="Listings" sheetId="3" state="visible" r:id="rId3"/>
    <sheet xmlns:r="http://schemas.openxmlformats.org/officeDocument/2006/relationships" name="Ranke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i val="1"/>
      <color rgb="006B7280"/>
      <sz val="9"/>
    </font>
    <font>
      <name val="Calibri"/>
      <b val="1"/>
      <color rgb="001F2A37"/>
      <sz val="20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0" fontId="9" fillId="0" borderId="0" pivotButton="0" quotePrefix="0" xfId="0"/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164" fontId="7" fillId="3" borderId="1" pivotButton="0" quotePrefix="0" xfId="0"/>
    <xf numFmtId="165" fontId="7" fillId="3" borderId="1" pivotButton="0" quotePrefix="0" xfId="0"/>
    <xf numFmtId="3" fontId="7" fillId="3" borderId="1" pivotButton="0" quotePrefix="0" xfId="0"/>
    <xf numFmtId="164" fontId="7" fillId="4" borderId="1" pivotButton="0" quotePrefix="0" xfId="0"/>
    <xf numFmtId="165" fontId="7" fillId="4" borderId="1" pivotButton="0" quotePrefix="0" xfId="0"/>
    <xf numFmtId="3" fontId="8" fillId="4" borderId="1" pivotButton="0" quotePrefix="0" xfId="0"/>
    <xf numFmtId="0" fontId="8" fillId="0" borderId="0" pivotButton="0" quotePrefix="0" xfId="0"/>
    <xf numFmtId="164" fontId="10" fillId="4" borderId="1" pivotButton="0" quotePrefix="0" xfId="0"/>
    <xf numFmtId="164" fontId="8" fillId="4" borderId="1" pivotButton="0" quotePrefix="0" xfId="0"/>
    <xf numFmtId="0" fontId="7" fillId="4" borderId="1" pivotButton="0" quotePrefix="0" xfId="0"/>
    <xf numFmtId="3" fontId="7" fillId="4" borderId="1" pivotButton="0" quotePrefix="0" xfId="0"/>
  </cellXfs>
  <cellStyles count="1">
    <cellStyle name="Normal" xfId="0" builtinId="0" hidden="0"/>
  </cellStyles>
  <dxfs count="1"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Etsy Listing Margin Tracker</t>
        </is>
      </c>
    </row>
    <row r="3">
      <c r="A3" s="3" t="inlineStr">
        <is>
          <t>Contribution per listing after fees, postage, packaging and Offsite Ads, then the ranking that follows.</t>
        </is>
      </c>
    </row>
    <row r="5">
      <c r="B5" s="4" t="inlineStr">
        <is>
          <t>Contribution, not margin</t>
        </is>
      </c>
    </row>
    <row r="6" ht="45" customHeight="1">
      <c r="B6" s="5" t="inlineStr">
        <is>
          <t>Contribution is what a listing leaves after everything that varies with the sale. It is what pays your studio, your accountant and yourself. A listing with a lovely percentage and two sales a month contributes less than a dull one selling sixty.</t>
        </is>
      </c>
    </row>
    <row r="8">
      <c r="B8" s="4" t="inlineStr">
        <is>
          <t>Why the ranking is in pounds</t>
        </is>
      </c>
    </row>
    <row r="9" ht="45" customHeight="1">
      <c r="B9" s="5" t="inlineStr">
        <is>
          <t>Sorting by margin percentage flatters low-volume items and hides where the money comes from. The Ranked sheet orders by monthly contribution in pounds, which is usually a different order and always the more useful one.</t>
        </is>
      </c>
    </row>
    <row r="11">
      <c r="B11" s="4" t="inlineStr">
        <is>
          <t>Offsite Ads is per listing</t>
        </is>
      </c>
    </row>
    <row r="12" ht="45" customHeight="1">
      <c r="B12" s="5" t="inlineStr">
        <is>
          <t>Each row carries its own Offsite Ads rate, because that is how it lands: only on attributed orders. A listing carrying a 15 per cent ad and one carrying none are different products and should not share an average.</t>
        </is>
      </c>
    </row>
    <row r="14">
      <c r="B14" s="4" t="inlineStr">
        <is>
          <t>The two columns to read together</t>
        </is>
      </c>
    </row>
    <row r="15" ht="45" customHeight="1">
      <c r="B15" s="5" t="inlineStr">
        <is>
          <t>Contribution a month tells you what a listing is worth. The ad column tells you what it is exposed to. A listing with a good monthly figure and a 15 per cent ad is one attribution away from a much worse one.</t>
        </is>
      </c>
    </row>
    <row r="17">
      <c r="B17" s="4" t="inlineStr">
        <is>
          <t>General information</t>
        </is>
      </c>
    </row>
    <row r="18" ht="30" customHeight="1">
      <c r="B18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58" customWidth="1" min="3" max="3"/>
  </cols>
  <sheetData>
    <row r="1">
      <c r="A1" s="1" t="inlineStr">
        <is>
          <t>ZAZEN TAX</t>
        </is>
      </c>
    </row>
    <row r="2">
      <c r="A2" s="2" t="inlineStr">
        <is>
          <t>Etsy's rates, in one place</t>
        </is>
      </c>
    </row>
    <row r="5" ht="19" customHeight="1">
      <c r="A5" s="6" t="inlineStr">
        <is>
          <t xml:space="preserve">  What Etsy charges</t>
        </is>
      </c>
      <c r="B5" s="7" t="n"/>
      <c r="C5" s="7" t="n"/>
    </row>
    <row r="6">
      <c r="A6" s="8" t="inlineStr">
        <is>
          <t>Listing fee</t>
        </is>
      </c>
      <c r="B6" s="9" t="n">
        <v>0.2</v>
      </c>
      <c r="C6" s="10" t="inlineStr">
        <is>
          <t>Renews on every sale.</t>
        </is>
      </c>
    </row>
    <row r="7">
      <c r="A7" s="8" t="inlineStr">
        <is>
          <t>Transaction fee</t>
        </is>
      </c>
      <c r="B7" s="11" t="n">
        <v>0.065</v>
      </c>
      <c r="C7" s="10" t="inlineStr"/>
    </row>
    <row r="8">
      <c r="A8" s="8" t="inlineStr">
        <is>
          <t>Processing, percentage</t>
        </is>
      </c>
      <c r="B8" s="11" t="n">
        <v>0.04</v>
      </c>
      <c r="C8" s="10" t="inlineStr"/>
    </row>
    <row r="9">
      <c r="A9" s="8" t="inlineStr">
        <is>
          <t>Processing, fixed</t>
        </is>
      </c>
      <c r="B9" s="9" t="n">
        <v>0.2</v>
      </c>
      <c r="C9" s="10" t="inlineStr"/>
    </row>
    <row r="10">
      <c r="A10" s="8" t="inlineStr">
        <is>
          <t>Regulatory operating fee</t>
        </is>
      </c>
      <c r="B10" s="11" t="n">
        <v>0.0048</v>
      </c>
      <c r="C10" s="10" t="inlineStr"/>
    </row>
    <row r="11">
      <c r="A11" s="8" t="inlineStr">
        <is>
          <t>Your VAT rate</t>
        </is>
      </c>
      <c r="B11" s="11" t="n">
        <v>0.2</v>
      </c>
      <c r="C11" s="10" t="inlineStr">
        <is>
          <t>0% if not registered, and Etsy adds 20% to its fees.</t>
        </is>
      </c>
    </row>
    <row r="13">
      <c r="A13" s="12" t="inlineStr">
        <is>
          <t>Taken from a recent Etsy bill rather than from an article, including this one. Etsy changes them.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7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1" customWidth="1" min="4" max="4"/>
    <col width="11" customWidth="1" min="5" max="5"/>
    <col width="10" customWidth="1" min="6" max="6"/>
    <col width="11" customWidth="1" min="7" max="7"/>
    <col width="12" customWidth="1" min="8" max="8"/>
    <col width="11" customWidth="1" min="9" max="9"/>
    <col width="10" customWidth="1" min="10" max="10"/>
    <col width="14" customWidth="1" min="11" max="11"/>
    <col width="9" customWidth="1" min="12" max="12"/>
    <col width="12" customWidth="1" min="13" max="13"/>
    <col hidden="1" width="10" customWidth="1" min="14" max="14"/>
  </cols>
  <sheetData>
    <row r="1">
      <c r="A1" s="1" t="inlineStr">
        <is>
          <t>ZAZEN TAX</t>
        </is>
      </c>
    </row>
    <row r="2">
      <c r="A2" s="2" t="inlineStr">
        <is>
          <t>One row per listing</t>
        </is>
      </c>
    </row>
    <row r="5">
      <c r="A5" s="3" t="inlineStr">
        <is>
          <t>Yellow is yours. The fee rates live on the Rates sheet so there is one place to change them.</t>
        </is>
      </c>
    </row>
    <row r="7" ht="28" customHeight="1">
      <c r="A7" s="13" t="inlineStr">
        <is>
          <t>Listing</t>
        </is>
      </c>
      <c r="B7" s="13" t="inlineStr">
        <is>
          <t>Price</t>
        </is>
      </c>
      <c r="C7" s="13" t="inlineStr">
        <is>
          <t>Delivery</t>
        </is>
      </c>
      <c r="D7" s="13" t="inlineStr">
        <is>
          <t>Materials</t>
        </is>
      </c>
      <c r="E7" s="13" t="inlineStr">
        <is>
          <t>Postage paid</t>
        </is>
      </c>
      <c r="F7" s="13" t="inlineStr">
        <is>
          <t>Packaging</t>
        </is>
      </c>
      <c r="G7" s="13" t="inlineStr">
        <is>
          <t>Offsite Ads</t>
        </is>
      </c>
      <c r="H7" s="13" t="inlineStr">
        <is>
          <t>Units a month</t>
        </is>
      </c>
      <c r="I7" s="13" t="inlineStr">
        <is>
          <t>Etsy fees</t>
        </is>
      </c>
      <c r="J7" s="13" t="inlineStr">
        <is>
          <t>Ad cost</t>
        </is>
      </c>
      <c r="K7" s="13" t="inlineStr">
        <is>
          <t>Contribution a unit</t>
        </is>
      </c>
      <c r="L7" s="13" t="inlineStr">
        <is>
          <t>Margin</t>
        </is>
      </c>
      <c r="M7" s="13" t="inlineStr">
        <is>
          <t>A month</t>
        </is>
      </c>
      <c r="N7" s="13" t="inlineStr">
        <is>
          <t>Rank key</t>
        </is>
      </c>
    </row>
    <row r="8">
      <c r="A8" s="14" t="inlineStr">
        <is>
          <t>Hand-thrown mug</t>
        </is>
      </c>
      <c r="B8" s="15" t="n">
        <v>28</v>
      </c>
      <c r="C8" s="15" t="n">
        <v>3.95</v>
      </c>
      <c r="D8" s="15" t="n">
        <v>7.2</v>
      </c>
      <c r="E8" s="15" t="n">
        <v>3.2</v>
      </c>
      <c r="F8" s="15" t="n">
        <v>0.55</v>
      </c>
      <c r="G8" s="16" t="n">
        <v>0</v>
      </c>
      <c r="H8" s="17" t="n">
        <v>46</v>
      </c>
      <c r="I8" s="18">
        <f>IF($B8="","",(Rates!$B$6+($B8+$C8)*Rates!$B$7+($B8+$C8)*Rates!$B$8+Rates!$B$9+($B8+$C8)*Rates!$B$10)*(IF(Rates!$B$11&gt;0,1,1+0.2)))</f>
        <v/>
      </c>
      <c r="J8" s="18">
        <f>IF($B8="","",($B8+$C8)*$G8*(IF(Rates!$B$11&gt;0,1,1+0.2)))</f>
        <v/>
      </c>
      <c r="K8" s="18">
        <f>IF($B8="","",(IF(Rates!$B$11&gt;0,IFERROR(($B8+$C8)/(1+Rates!$B$11),0),($B8+$C8)))-((Rates!$B$6+($B8+$C8)*Rates!$B$7+($B8+$C8)*Rates!$B$8+Rates!$B$9+($B8+$C8)*Rates!$B$10)*(IF(Rates!$B$11&gt;0,1,1+0.2)))-(($B8+$C8)*$G8*(IF(Rates!$B$11&gt;0,1,1+0.2)))-$D8-$E8-(IF(Rates!$B$11&gt;0,IFERROR($F8/(1+Rates!$B$11),0),$F8)))</f>
        <v/>
      </c>
      <c r="L8" s="19">
        <f>IF($B8="","",IFERROR(((IF(Rates!$B$11&gt;0,IFERROR(($B8+$C8)/(1+Rates!$B$11),0),($B8+$C8)))-((Rates!$B$6+($B8+$C8)*Rates!$B$7+($B8+$C8)*Rates!$B$8+Rates!$B$9+($B8+$C8)*Rates!$B$10)*(IF(Rates!$B$11&gt;0,1,1+0.2)))-(($B8+$C8)*$G8*(IF(Rates!$B$11&gt;0,1,1+0.2)))-$D8-$E8-(IF(Rates!$B$11&gt;0,IFERROR($F8/(1+Rates!$B$11),0),$F8)))/($B8+$C8),""))</f>
        <v/>
      </c>
      <c r="M8" s="18">
        <f>IF($B8="","",((IF(Rates!$B$11&gt;0,IFERROR(($B8+$C8)/(1+Rates!$B$11),0),($B8+$C8)))-((Rates!$B$6+($B8+$C8)*Rates!$B$7+($B8+$C8)*Rates!$B$8+Rates!$B$9+($B8+$C8)*Rates!$B$10)*(IF(Rates!$B$11&gt;0,1,1+0.2)))-(($B8+$C8)*$G8*(IF(Rates!$B$11&gt;0,1,1+0.2)))-$D8-$E8-(IF(Rates!$B$11&gt;0,IFERROR($F8/(1+Rates!$B$11),0),$F8)))*$H8)</f>
        <v/>
      </c>
      <c r="N8" s="18">
        <f>IF($B8="","",((IF(Rates!$B$11&gt;0,IFERROR(($B8+$C8)/(1+Rates!$B$11),0),($B8+$C8)))-((Rates!$B$6+($B8+$C8)*Rates!$B$7+($B8+$C8)*Rates!$B$8+Rates!$B$9+($B8+$C8)*Rates!$B$10)*(IF(Rates!$B$11&gt;0,1,1+0.2)))-(($B8+$C8)*$G8*(IF(Rates!$B$11&gt;0,1,1+0.2)))-$D8-$E8-(IF(Rates!$B$11&gt;0,IFERROR($F8/(1+Rates!$B$11),0),$F8)))*$H8+ROW()/1000000)</f>
        <v/>
      </c>
    </row>
    <row r="9">
      <c r="A9" s="14" t="inlineStr">
        <is>
          <t>Linen apron</t>
        </is>
      </c>
      <c r="B9" s="15" t="n">
        <v>42</v>
      </c>
      <c r="C9" s="15" t="n">
        <v>4.5</v>
      </c>
      <c r="D9" s="15" t="n">
        <v>14.8</v>
      </c>
      <c r="E9" s="15" t="n">
        <v>3.6</v>
      </c>
      <c r="F9" s="15" t="n">
        <v>0.45</v>
      </c>
      <c r="G9" s="16" t="n">
        <v>0.15</v>
      </c>
      <c r="H9" s="17" t="n">
        <v>12</v>
      </c>
      <c r="I9" s="18">
        <f>IF($B9="","",(Rates!$B$6+($B9+$C9)*Rates!$B$7+($B9+$C9)*Rates!$B$8+Rates!$B$9+($B9+$C9)*Rates!$B$10)*(IF(Rates!$B$11&gt;0,1,1+0.2)))</f>
        <v/>
      </c>
      <c r="J9" s="18">
        <f>IF($B9="","",($B9+$C9)*$G9*(IF(Rates!$B$11&gt;0,1,1+0.2)))</f>
        <v/>
      </c>
      <c r="K9" s="18">
        <f>IF($B9="","",(IF(Rates!$B$11&gt;0,IFERROR(($B9+$C9)/(1+Rates!$B$11),0),($B9+$C9)))-((Rates!$B$6+($B9+$C9)*Rates!$B$7+($B9+$C9)*Rates!$B$8+Rates!$B$9+($B9+$C9)*Rates!$B$10)*(IF(Rates!$B$11&gt;0,1,1+0.2)))-(($B9+$C9)*$G9*(IF(Rates!$B$11&gt;0,1,1+0.2)))-$D9-$E9-(IF(Rates!$B$11&gt;0,IFERROR($F9/(1+Rates!$B$11),0),$F9)))</f>
        <v/>
      </c>
      <c r="L9" s="19">
        <f>IF($B9="","",IFERROR(((IF(Rates!$B$11&gt;0,IFERROR(($B9+$C9)/(1+Rates!$B$11),0),($B9+$C9)))-((Rates!$B$6+($B9+$C9)*Rates!$B$7+($B9+$C9)*Rates!$B$8+Rates!$B$9+($B9+$C9)*Rates!$B$10)*(IF(Rates!$B$11&gt;0,1,1+0.2)))-(($B9+$C9)*$G9*(IF(Rates!$B$11&gt;0,1,1+0.2)))-$D9-$E9-(IF(Rates!$B$11&gt;0,IFERROR($F9/(1+Rates!$B$11),0),$F9)))/($B9+$C9),""))</f>
        <v/>
      </c>
      <c r="M9" s="18">
        <f>IF($B9="","",((IF(Rates!$B$11&gt;0,IFERROR(($B9+$C9)/(1+Rates!$B$11),0),($B9+$C9)))-((Rates!$B$6+($B9+$C9)*Rates!$B$7+($B9+$C9)*Rates!$B$8+Rates!$B$9+($B9+$C9)*Rates!$B$10)*(IF(Rates!$B$11&gt;0,1,1+0.2)))-(($B9+$C9)*$G9*(IF(Rates!$B$11&gt;0,1,1+0.2)))-$D9-$E9-(IF(Rates!$B$11&gt;0,IFERROR($F9/(1+Rates!$B$11),0),$F9)))*$H9)</f>
        <v/>
      </c>
      <c r="N9" s="18">
        <f>IF($B9="","",((IF(Rates!$B$11&gt;0,IFERROR(($B9+$C9)/(1+Rates!$B$11),0),($B9+$C9)))-((Rates!$B$6+($B9+$C9)*Rates!$B$7+($B9+$C9)*Rates!$B$8+Rates!$B$9+($B9+$C9)*Rates!$B$10)*(IF(Rates!$B$11&gt;0,1,1+0.2)))-(($B9+$C9)*$G9*(IF(Rates!$B$11&gt;0,1,1+0.2)))-$D9-$E9-(IF(Rates!$B$11&gt;0,IFERROR($F9/(1+Rates!$B$11),0),$F9)))*$H9+ROW()/1000000)</f>
        <v/>
      </c>
    </row>
    <row r="10">
      <c r="A10" s="14" t="inlineStr">
        <is>
          <t>Silver stacking ring</t>
        </is>
      </c>
      <c r="B10" s="15" t="n">
        <v>36</v>
      </c>
      <c r="C10" s="15" t="n">
        <v>2.2</v>
      </c>
      <c r="D10" s="15" t="n">
        <v>9.4</v>
      </c>
      <c r="E10" s="15" t="n">
        <v>1.85</v>
      </c>
      <c r="F10" s="15" t="n">
        <v>0.85</v>
      </c>
      <c r="G10" s="16" t="n">
        <v>0.15</v>
      </c>
      <c r="H10" s="17" t="n">
        <v>18</v>
      </c>
      <c r="I10" s="18">
        <f>IF($B10="","",(Rates!$B$6+($B10+$C10)*Rates!$B$7+($B10+$C10)*Rates!$B$8+Rates!$B$9+($B10+$C10)*Rates!$B$10)*(IF(Rates!$B$11&gt;0,1,1+0.2)))</f>
        <v/>
      </c>
      <c r="J10" s="18">
        <f>IF($B10="","",($B10+$C10)*$G10*(IF(Rates!$B$11&gt;0,1,1+0.2)))</f>
        <v/>
      </c>
      <c r="K10" s="18">
        <f>IF($B10="","",(IF(Rates!$B$11&gt;0,IFERROR(($B10+$C10)/(1+Rates!$B$11),0),($B10+$C10)))-((Rates!$B$6+($B10+$C10)*Rates!$B$7+($B10+$C10)*Rates!$B$8+Rates!$B$9+($B10+$C10)*Rates!$B$10)*(IF(Rates!$B$11&gt;0,1,1+0.2)))-(($B10+$C10)*$G10*(IF(Rates!$B$11&gt;0,1,1+0.2)))-$D10-$E10-(IF(Rates!$B$11&gt;0,IFERROR($F10/(1+Rates!$B$11),0),$F10)))</f>
        <v/>
      </c>
      <c r="L10" s="19">
        <f>IF($B10="","",IFERROR(((IF(Rates!$B$11&gt;0,IFERROR(($B10+$C10)/(1+Rates!$B$11),0),($B10+$C10)))-((Rates!$B$6+($B10+$C10)*Rates!$B$7+($B10+$C10)*Rates!$B$8+Rates!$B$9+($B10+$C10)*Rates!$B$10)*(IF(Rates!$B$11&gt;0,1,1+0.2)))-(($B10+$C10)*$G10*(IF(Rates!$B$11&gt;0,1,1+0.2)))-$D10-$E10-(IF(Rates!$B$11&gt;0,IFERROR($F10/(1+Rates!$B$11),0),$F10)))/($B10+$C10),""))</f>
        <v/>
      </c>
      <c r="M10" s="18">
        <f>IF($B10="","",((IF(Rates!$B$11&gt;0,IFERROR(($B10+$C10)/(1+Rates!$B$11),0),($B10+$C10)))-((Rates!$B$6+($B10+$C10)*Rates!$B$7+($B10+$C10)*Rates!$B$8+Rates!$B$9+($B10+$C10)*Rates!$B$10)*(IF(Rates!$B$11&gt;0,1,1+0.2)))-(($B10+$C10)*$G10*(IF(Rates!$B$11&gt;0,1,1+0.2)))-$D10-$E10-(IF(Rates!$B$11&gt;0,IFERROR($F10/(1+Rates!$B$11),0),$F10)))*$H10)</f>
        <v/>
      </c>
      <c r="N10" s="18">
        <f>IF($B10="","",((IF(Rates!$B$11&gt;0,IFERROR(($B10+$C10)/(1+Rates!$B$11),0),($B10+$C10)))-((Rates!$B$6+($B10+$C10)*Rates!$B$7+($B10+$C10)*Rates!$B$8+Rates!$B$9+($B10+$C10)*Rates!$B$10)*(IF(Rates!$B$11&gt;0,1,1+0.2)))-(($B10+$C10)*$G10*(IF(Rates!$B$11&gt;0,1,1+0.2)))-$D10-$E10-(IF(Rates!$B$11&gt;0,IFERROR($F10/(1+Rates!$B$11),0),$F10)))*$H10+ROW()/1000000)</f>
        <v/>
      </c>
    </row>
    <row r="11">
      <c r="A11" s="14" t="inlineStr">
        <is>
          <t>Wool blanket, woven</t>
        </is>
      </c>
      <c r="B11" s="15" t="n">
        <v>145</v>
      </c>
      <c r="C11" s="15" t="n">
        <v>6.95</v>
      </c>
      <c r="D11" s="15" t="n">
        <v>52</v>
      </c>
      <c r="E11" s="15" t="n">
        <v>6.1</v>
      </c>
      <c r="F11" s="15" t="n">
        <v>1.6</v>
      </c>
      <c r="G11" s="16" t="n">
        <v>0.12</v>
      </c>
      <c r="H11" s="17" t="n">
        <v>3</v>
      </c>
      <c r="I11" s="18">
        <f>IF($B11="","",(Rates!$B$6+($B11+$C11)*Rates!$B$7+($B11+$C11)*Rates!$B$8+Rates!$B$9+($B11+$C11)*Rates!$B$10)*(IF(Rates!$B$11&gt;0,1,1+0.2)))</f>
        <v/>
      </c>
      <c r="J11" s="18">
        <f>IF($B11="","",($B11+$C11)*$G11*(IF(Rates!$B$11&gt;0,1,1+0.2)))</f>
        <v/>
      </c>
      <c r="K11" s="18">
        <f>IF($B11="","",(IF(Rates!$B$11&gt;0,IFERROR(($B11+$C11)/(1+Rates!$B$11),0),($B11+$C11)))-((Rates!$B$6+($B11+$C11)*Rates!$B$7+($B11+$C11)*Rates!$B$8+Rates!$B$9+($B11+$C11)*Rates!$B$10)*(IF(Rates!$B$11&gt;0,1,1+0.2)))-(($B11+$C11)*$G11*(IF(Rates!$B$11&gt;0,1,1+0.2)))-$D11-$E11-(IF(Rates!$B$11&gt;0,IFERROR($F11/(1+Rates!$B$11),0),$F11)))</f>
        <v/>
      </c>
      <c r="L11" s="19">
        <f>IF($B11="","",IFERROR(((IF(Rates!$B$11&gt;0,IFERROR(($B11+$C11)/(1+Rates!$B$11),0),($B11+$C11)))-((Rates!$B$6+($B11+$C11)*Rates!$B$7+($B11+$C11)*Rates!$B$8+Rates!$B$9+($B11+$C11)*Rates!$B$10)*(IF(Rates!$B$11&gt;0,1,1+0.2)))-(($B11+$C11)*$G11*(IF(Rates!$B$11&gt;0,1,1+0.2)))-$D11-$E11-(IF(Rates!$B$11&gt;0,IFERROR($F11/(1+Rates!$B$11),0),$F11)))/($B11+$C11),""))</f>
        <v/>
      </c>
      <c r="M11" s="18">
        <f>IF($B11="","",((IF(Rates!$B$11&gt;0,IFERROR(($B11+$C11)/(1+Rates!$B$11),0),($B11+$C11)))-((Rates!$B$6+($B11+$C11)*Rates!$B$7+($B11+$C11)*Rates!$B$8+Rates!$B$9+($B11+$C11)*Rates!$B$10)*(IF(Rates!$B$11&gt;0,1,1+0.2)))-(($B11+$C11)*$G11*(IF(Rates!$B$11&gt;0,1,1+0.2)))-$D11-$E11-(IF(Rates!$B$11&gt;0,IFERROR($F11/(1+Rates!$B$11),0),$F11)))*$H11)</f>
        <v/>
      </c>
      <c r="N11" s="18">
        <f>IF($B11="","",((IF(Rates!$B$11&gt;0,IFERROR(($B11+$C11)/(1+Rates!$B$11),0),($B11+$C11)))-((Rates!$B$6+($B11+$C11)*Rates!$B$7+($B11+$C11)*Rates!$B$8+Rates!$B$9+($B11+$C11)*Rates!$B$10)*(IF(Rates!$B$11&gt;0,1,1+0.2)))-(($B11+$C11)*$G11*(IF(Rates!$B$11&gt;0,1,1+0.2)))-$D11-$E11-(IF(Rates!$B$11&gt;0,IFERROR($F11/(1+Rates!$B$11),0),$F11)))*$H11+ROW()/1000000)</f>
        <v/>
      </c>
    </row>
    <row r="12">
      <c r="A12" s="14" t="inlineStr">
        <is>
          <t>Enamel pin</t>
        </is>
      </c>
      <c r="B12" s="15" t="n">
        <v>9.5</v>
      </c>
      <c r="C12" s="15" t="n">
        <v>1.6</v>
      </c>
      <c r="D12" s="15" t="n">
        <v>2.1</v>
      </c>
      <c r="E12" s="15" t="n">
        <v>1.35</v>
      </c>
      <c r="F12" s="15" t="n">
        <v>0.25</v>
      </c>
      <c r="G12" s="16" t="n">
        <v>0</v>
      </c>
      <c r="H12" s="17" t="n">
        <v>88</v>
      </c>
      <c r="I12" s="18">
        <f>IF($B12="","",(Rates!$B$6+($B12+$C12)*Rates!$B$7+($B12+$C12)*Rates!$B$8+Rates!$B$9+($B12+$C12)*Rates!$B$10)*(IF(Rates!$B$11&gt;0,1,1+0.2)))</f>
        <v/>
      </c>
      <c r="J12" s="18">
        <f>IF($B12="","",($B12+$C12)*$G12*(IF(Rates!$B$11&gt;0,1,1+0.2)))</f>
        <v/>
      </c>
      <c r="K12" s="18">
        <f>IF($B12="","",(IF(Rates!$B$11&gt;0,IFERROR(($B12+$C12)/(1+Rates!$B$11),0),($B12+$C12)))-((Rates!$B$6+($B12+$C12)*Rates!$B$7+($B12+$C12)*Rates!$B$8+Rates!$B$9+($B12+$C12)*Rates!$B$10)*(IF(Rates!$B$11&gt;0,1,1+0.2)))-(($B12+$C12)*$G12*(IF(Rates!$B$11&gt;0,1,1+0.2)))-$D12-$E12-(IF(Rates!$B$11&gt;0,IFERROR($F12/(1+Rates!$B$11),0),$F12)))</f>
        <v/>
      </c>
      <c r="L12" s="19">
        <f>IF($B12="","",IFERROR(((IF(Rates!$B$11&gt;0,IFERROR(($B12+$C12)/(1+Rates!$B$11),0),($B12+$C12)))-((Rates!$B$6+($B12+$C12)*Rates!$B$7+($B12+$C12)*Rates!$B$8+Rates!$B$9+($B12+$C12)*Rates!$B$10)*(IF(Rates!$B$11&gt;0,1,1+0.2)))-(($B12+$C12)*$G12*(IF(Rates!$B$11&gt;0,1,1+0.2)))-$D12-$E12-(IF(Rates!$B$11&gt;0,IFERROR($F12/(1+Rates!$B$11),0),$F12)))/($B12+$C12),""))</f>
        <v/>
      </c>
      <c r="M12" s="18">
        <f>IF($B12="","",((IF(Rates!$B$11&gt;0,IFERROR(($B12+$C12)/(1+Rates!$B$11),0),($B12+$C12)))-((Rates!$B$6+($B12+$C12)*Rates!$B$7+($B12+$C12)*Rates!$B$8+Rates!$B$9+($B12+$C12)*Rates!$B$10)*(IF(Rates!$B$11&gt;0,1,1+0.2)))-(($B12+$C12)*$G12*(IF(Rates!$B$11&gt;0,1,1+0.2)))-$D12-$E12-(IF(Rates!$B$11&gt;0,IFERROR($F12/(1+Rates!$B$11),0),$F12)))*$H12)</f>
        <v/>
      </c>
      <c r="N12" s="18">
        <f>IF($B12="","",((IF(Rates!$B$11&gt;0,IFERROR(($B12+$C12)/(1+Rates!$B$11),0),($B12+$C12)))-((Rates!$B$6+($B12+$C12)*Rates!$B$7+($B12+$C12)*Rates!$B$8+Rates!$B$9+($B12+$C12)*Rates!$B$10)*(IF(Rates!$B$11&gt;0,1,1+0.2)))-(($B12+$C12)*$G12*(IF(Rates!$B$11&gt;0,1,1+0.2)))-$D12-$E12-(IF(Rates!$B$11&gt;0,IFERROR($F12/(1+Rates!$B$11),0),$F12)))*$H12+ROW()/1000000)</f>
        <v/>
      </c>
    </row>
    <row r="13">
      <c r="A13" s="14" t="inlineStr">
        <is>
          <t>Ceramic planter, large</t>
        </is>
      </c>
      <c r="B13" s="15" t="n">
        <v>54</v>
      </c>
      <c r="C13" s="15" t="n">
        <v>7.4</v>
      </c>
      <c r="D13" s="15" t="n">
        <v>16.5</v>
      </c>
      <c r="E13" s="15" t="n">
        <v>6.8</v>
      </c>
      <c r="F13" s="15" t="n">
        <v>1.85</v>
      </c>
      <c r="G13" s="16" t="n">
        <v>0.15</v>
      </c>
      <c r="H13" s="17" t="n">
        <v>9</v>
      </c>
      <c r="I13" s="18">
        <f>IF($B13="","",(Rates!$B$6+($B13+$C13)*Rates!$B$7+($B13+$C13)*Rates!$B$8+Rates!$B$9+($B13+$C13)*Rates!$B$10)*(IF(Rates!$B$11&gt;0,1,1+0.2)))</f>
        <v/>
      </c>
      <c r="J13" s="18">
        <f>IF($B13="","",($B13+$C13)*$G13*(IF(Rates!$B$11&gt;0,1,1+0.2)))</f>
        <v/>
      </c>
      <c r="K13" s="18">
        <f>IF($B13="","",(IF(Rates!$B$11&gt;0,IFERROR(($B13+$C13)/(1+Rates!$B$11),0),($B13+$C13)))-((Rates!$B$6+($B13+$C13)*Rates!$B$7+($B13+$C13)*Rates!$B$8+Rates!$B$9+($B13+$C13)*Rates!$B$10)*(IF(Rates!$B$11&gt;0,1,1+0.2)))-(($B13+$C13)*$G13*(IF(Rates!$B$11&gt;0,1,1+0.2)))-$D13-$E13-(IF(Rates!$B$11&gt;0,IFERROR($F13/(1+Rates!$B$11),0),$F13)))</f>
        <v/>
      </c>
      <c r="L13" s="19">
        <f>IF($B13="","",IFERROR(((IF(Rates!$B$11&gt;0,IFERROR(($B13+$C13)/(1+Rates!$B$11),0),($B13+$C13)))-((Rates!$B$6+($B13+$C13)*Rates!$B$7+($B13+$C13)*Rates!$B$8+Rates!$B$9+($B13+$C13)*Rates!$B$10)*(IF(Rates!$B$11&gt;0,1,1+0.2)))-(($B13+$C13)*$G13*(IF(Rates!$B$11&gt;0,1,1+0.2)))-$D13-$E13-(IF(Rates!$B$11&gt;0,IFERROR($F13/(1+Rates!$B$11),0),$F13)))/($B13+$C13),""))</f>
        <v/>
      </c>
      <c r="M13" s="18">
        <f>IF($B13="","",((IF(Rates!$B$11&gt;0,IFERROR(($B13+$C13)/(1+Rates!$B$11),0),($B13+$C13)))-((Rates!$B$6+($B13+$C13)*Rates!$B$7+($B13+$C13)*Rates!$B$8+Rates!$B$9+($B13+$C13)*Rates!$B$10)*(IF(Rates!$B$11&gt;0,1,1+0.2)))-(($B13+$C13)*$G13*(IF(Rates!$B$11&gt;0,1,1+0.2)))-$D13-$E13-(IF(Rates!$B$11&gt;0,IFERROR($F13/(1+Rates!$B$11),0),$F13)))*$H13)</f>
        <v/>
      </c>
      <c r="N13" s="18">
        <f>IF($B13="","",((IF(Rates!$B$11&gt;0,IFERROR(($B13+$C13)/(1+Rates!$B$11),0),($B13+$C13)))-((Rates!$B$6+($B13+$C13)*Rates!$B$7+($B13+$C13)*Rates!$B$8+Rates!$B$9+($B13+$C13)*Rates!$B$10)*(IF(Rates!$B$11&gt;0,1,1+0.2)))-(($B13+$C13)*$G13*(IF(Rates!$B$11&gt;0,1,1+0.2)))-$D13-$E13-(IF(Rates!$B$11&gt;0,IFERROR($F13/(1+Rates!$B$11),0),$F13)))*$H13+ROW()/1000000)</f>
        <v/>
      </c>
    </row>
    <row r="14">
      <c r="A14" s="14" t="inlineStr">
        <is>
          <t>Screen-printed tote</t>
        </is>
      </c>
      <c r="B14" s="15" t="n">
        <v>22</v>
      </c>
      <c r="C14" s="15" t="n">
        <v>3.2</v>
      </c>
      <c r="D14" s="15" t="n">
        <v>6.9</v>
      </c>
      <c r="E14" s="15" t="n">
        <v>2.85</v>
      </c>
      <c r="F14" s="15" t="n">
        <v>0.35</v>
      </c>
      <c r="G14" s="16" t="n">
        <v>0.15</v>
      </c>
      <c r="H14" s="17" t="n">
        <v>31</v>
      </c>
      <c r="I14" s="18">
        <f>IF($B14="","",(Rates!$B$6+($B14+$C14)*Rates!$B$7+($B14+$C14)*Rates!$B$8+Rates!$B$9+($B14+$C14)*Rates!$B$10)*(IF(Rates!$B$11&gt;0,1,1+0.2)))</f>
        <v/>
      </c>
      <c r="J14" s="18">
        <f>IF($B14="","",($B14+$C14)*$G14*(IF(Rates!$B$11&gt;0,1,1+0.2)))</f>
        <v/>
      </c>
      <c r="K14" s="18">
        <f>IF($B14="","",(IF(Rates!$B$11&gt;0,IFERROR(($B14+$C14)/(1+Rates!$B$11),0),($B14+$C14)))-((Rates!$B$6+($B14+$C14)*Rates!$B$7+($B14+$C14)*Rates!$B$8+Rates!$B$9+($B14+$C14)*Rates!$B$10)*(IF(Rates!$B$11&gt;0,1,1+0.2)))-(($B14+$C14)*$G14*(IF(Rates!$B$11&gt;0,1,1+0.2)))-$D14-$E14-(IF(Rates!$B$11&gt;0,IFERROR($F14/(1+Rates!$B$11),0),$F14)))</f>
        <v/>
      </c>
      <c r="L14" s="19">
        <f>IF($B14="","",IFERROR(((IF(Rates!$B$11&gt;0,IFERROR(($B14+$C14)/(1+Rates!$B$11),0),($B14+$C14)))-((Rates!$B$6+($B14+$C14)*Rates!$B$7+($B14+$C14)*Rates!$B$8+Rates!$B$9+($B14+$C14)*Rates!$B$10)*(IF(Rates!$B$11&gt;0,1,1+0.2)))-(($B14+$C14)*$G14*(IF(Rates!$B$11&gt;0,1,1+0.2)))-$D14-$E14-(IF(Rates!$B$11&gt;0,IFERROR($F14/(1+Rates!$B$11),0),$F14)))/($B14+$C14),""))</f>
        <v/>
      </c>
      <c r="M14" s="18">
        <f>IF($B14="","",((IF(Rates!$B$11&gt;0,IFERROR(($B14+$C14)/(1+Rates!$B$11),0),($B14+$C14)))-((Rates!$B$6+($B14+$C14)*Rates!$B$7+($B14+$C14)*Rates!$B$8+Rates!$B$9+($B14+$C14)*Rates!$B$10)*(IF(Rates!$B$11&gt;0,1,1+0.2)))-(($B14+$C14)*$G14*(IF(Rates!$B$11&gt;0,1,1+0.2)))-$D14-$E14-(IF(Rates!$B$11&gt;0,IFERROR($F14/(1+Rates!$B$11),0),$F14)))*$H14)</f>
        <v/>
      </c>
      <c r="N14" s="18">
        <f>IF($B14="","",((IF(Rates!$B$11&gt;0,IFERROR(($B14+$C14)/(1+Rates!$B$11),0),($B14+$C14)))-((Rates!$B$6+($B14+$C14)*Rates!$B$7+($B14+$C14)*Rates!$B$8+Rates!$B$9+($B14+$C14)*Rates!$B$10)*(IF(Rates!$B$11&gt;0,1,1+0.2)))-(($B14+$C14)*$G14*(IF(Rates!$B$11&gt;0,1,1+0.2)))-$D14-$E14-(IF(Rates!$B$11&gt;0,IFERROR($F14/(1+Rates!$B$11),0),$F14)))*$H14+ROW()/1000000)</f>
        <v/>
      </c>
    </row>
    <row r="15">
      <c r="A15" s="14" t="inlineStr">
        <is>
          <t>Leather notebook cover</t>
        </is>
      </c>
      <c r="B15" s="15" t="n">
        <v>38</v>
      </c>
      <c r="C15" s="15" t="n">
        <v>3.2</v>
      </c>
      <c r="D15" s="15" t="n">
        <v>12.6</v>
      </c>
      <c r="E15" s="15" t="n">
        <v>2.85</v>
      </c>
      <c r="F15" s="15" t="n">
        <v>0.6</v>
      </c>
      <c r="G15" s="16" t="n">
        <v>0</v>
      </c>
      <c r="H15" s="17" t="n">
        <v>14</v>
      </c>
      <c r="I15" s="18">
        <f>IF($B15="","",(Rates!$B$6+($B15+$C15)*Rates!$B$7+($B15+$C15)*Rates!$B$8+Rates!$B$9+($B15+$C15)*Rates!$B$10)*(IF(Rates!$B$11&gt;0,1,1+0.2)))</f>
        <v/>
      </c>
      <c r="J15" s="18">
        <f>IF($B15="","",($B15+$C15)*$G15*(IF(Rates!$B$11&gt;0,1,1+0.2)))</f>
        <v/>
      </c>
      <c r="K15" s="18">
        <f>IF($B15="","",(IF(Rates!$B$11&gt;0,IFERROR(($B15+$C15)/(1+Rates!$B$11),0),($B15+$C15)))-((Rates!$B$6+($B15+$C15)*Rates!$B$7+($B15+$C15)*Rates!$B$8+Rates!$B$9+($B15+$C15)*Rates!$B$10)*(IF(Rates!$B$11&gt;0,1,1+0.2)))-(($B15+$C15)*$G15*(IF(Rates!$B$11&gt;0,1,1+0.2)))-$D15-$E15-(IF(Rates!$B$11&gt;0,IFERROR($F15/(1+Rates!$B$11),0),$F15)))</f>
        <v/>
      </c>
      <c r="L15" s="19">
        <f>IF($B15="","",IFERROR(((IF(Rates!$B$11&gt;0,IFERROR(($B15+$C15)/(1+Rates!$B$11),0),($B15+$C15)))-((Rates!$B$6+($B15+$C15)*Rates!$B$7+($B15+$C15)*Rates!$B$8+Rates!$B$9+($B15+$C15)*Rates!$B$10)*(IF(Rates!$B$11&gt;0,1,1+0.2)))-(($B15+$C15)*$G15*(IF(Rates!$B$11&gt;0,1,1+0.2)))-$D15-$E15-(IF(Rates!$B$11&gt;0,IFERROR($F15/(1+Rates!$B$11),0),$F15)))/($B15+$C15),""))</f>
        <v/>
      </c>
      <c r="M15" s="18">
        <f>IF($B15="","",((IF(Rates!$B$11&gt;0,IFERROR(($B15+$C15)/(1+Rates!$B$11),0),($B15+$C15)))-((Rates!$B$6+($B15+$C15)*Rates!$B$7+($B15+$C15)*Rates!$B$8+Rates!$B$9+($B15+$C15)*Rates!$B$10)*(IF(Rates!$B$11&gt;0,1,1+0.2)))-(($B15+$C15)*$G15*(IF(Rates!$B$11&gt;0,1,1+0.2)))-$D15-$E15-(IF(Rates!$B$11&gt;0,IFERROR($F15/(1+Rates!$B$11),0),$F15)))*$H15)</f>
        <v/>
      </c>
      <c r="N15" s="18">
        <f>IF($B15="","",((IF(Rates!$B$11&gt;0,IFERROR(($B15+$C15)/(1+Rates!$B$11),0),($B15+$C15)))-((Rates!$B$6+($B15+$C15)*Rates!$B$7+($B15+$C15)*Rates!$B$8+Rates!$B$9+($B15+$C15)*Rates!$B$10)*(IF(Rates!$B$11&gt;0,1,1+0.2)))-(($B15+$C15)*$G15*(IF(Rates!$B$11&gt;0,1,1+0.2)))-$D15-$E15-(IF(Rates!$B$11&gt;0,IFERROR($F15/(1+Rates!$B$11),0),$F15)))*$H15+ROW()/1000000)</f>
        <v/>
      </c>
    </row>
    <row r="16">
      <c r="A16" s="14" t="inlineStr">
        <is>
          <t>Botanical print, A3</t>
        </is>
      </c>
      <c r="B16" s="15" t="n">
        <v>24</v>
      </c>
      <c r="C16" s="15" t="n">
        <v>4.1</v>
      </c>
      <c r="D16" s="15" t="n">
        <v>5.4</v>
      </c>
      <c r="E16" s="15" t="n">
        <v>3.55</v>
      </c>
      <c r="F16" s="15" t="n">
        <v>0.95</v>
      </c>
      <c r="G16" s="16" t="n">
        <v>0.15</v>
      </c>
      <c r="H16" s="17" t="n">
        <v>62</v>
      </c>
      <c r="I16" s="18">
        <f>IF($B16="","",(Rates!$B$6+($B16+$C16)*Rates!$B$7+($B16+$C16)*Rates!$B$8+Rates!$B$9+($B16+$C16)*Rates!$B$10)*(IF(Rates!$B$11&gt;0,1,1+0.2)))</f>
        <v/>
      </c>
      <c r="J16" s="18">
        <f>IF($B16="","",($B16+$C16)*$G16*(IF(Rates!$B$11&gt;0,1,1+0.2)))</f>
        <v/>
      </c>
      <c r="K16" s="18">
        <f>IF($B16="","",(IF(Rates!$B$11&gt;0,IFERROR(($B16+$C16)/(1+Rates!$B$11),0),($B16+$C16)))-((Rates!$B$6+($B16+$C16)*Rates!$B$7+($B16+$C16)*Rates!$B$8+Rates!$B$9+($B16+$C16)*Rates!$B$10)*(IF(Rates!$B$11&gt;0,1,1+0.2)))-(($B16+$C16)*$G16*(IF(Rates!$B$11&gt;0,1,1+0.2)))-$D16-$E16-(IF(Rates!$B$11&gt;0,IFERROR($F16/(1+Rates!$B$11),0),$F16)))</f>
        <v/>
      </c>
      <c r="L16" s="19">
        <f>IF($B16="","",IFERROR(((IF(Rates!$B$11&gt;0,IFERROR(($B16+$C16)/(1+Rates!$B$11),0),($B16+$C16)))-((Rates!$B$6+($B16+$C16)*Rates!$B$7+($B16+$C16)*Rates!$B$8+Rates!$B$9+($B16+$C16)*Rates!$B$10)*(IF(Rates!$B$11&gt;0,1,1+0.2)))-(($B16+$C16)*$G16*(IF(Rates!$B$11&gt;0,1,1+0.2)))-$D16-$E16-(IF(Rates!$B$11&gt;0,IFERROR($F16/(1+Rates!$B$11),0),$F16)))/($B16+$C16),""))</f>
        <v/>
      </c>
      <c r="M16" s="18">
        <f>IF($B16="","",((IF(Rates!$B$11&gt;0,IFERROR(($B16+$C16)/(1+Rates!$B$11),0),($B16+$C16)))-((Rates!$B$6+($B16+$C16)*Rates!$B$7+($B16+$C16)*Rates!$B$8+Rates!$B$9+($B16+$C16)*Rates!$B$10)*(IF(Rates!$B$11&gt;0,1,1+0.2)))-(($B16+$C16)*$G16*(IF(Rates!$B$11&gt;0,1,1+0.2)))-$D16-$E16-(IF(Rates!$B$11&gt;0,IFERROR($F16/(1+Rates!$B$11),0),$F16)))*$H16)</f>
        <v/>
      </c>
      <c r="N16" s="18">
        <f>IF($B16="","",((IF(Rates!$B$11&gt;0,IFERROR(($B16+$C16)/(1+Rates!$B$11),0),($B16+$C16)))-((Rates!$B$6+($B16+$C16)*Rates!$B$7+($B16+$C16)*Rates!$B$8+Rates!$B$9+($B16+$C16)*Rates!$B$10)*(IF(Rates!$B$11&gt;0,1,1+0.2)))-(($B16+$C16)*$G16*(IF(Rates!$B$11&gt;0,1,1+0.2)))-$D16-$E16-(IF(Rates!$B$11&gt;0,IFERROR($F16/(1+Rates!$B$11),0),$F16)))*$H16+ROW()/1000000)</f>
        <v/>
      </c>
    </row>
    <row r="17">
      <c r="A17" s="14" t="inlineStr">
        <is>
          <t>Beeswax candle set</t>
        </is>
      </c>
      <c r="B17" s="15" t="n">
        <v>19.5</v>
      </c>
      <c r="C17" s="15" t="n">
        <v>3.95</v>
      </c>
      <c r="D17" s="15" t="n">
        <v>6.2</v>
      </c>
      <c r="E17" s="15" t="n">
        <v>3.2</v>
      </c>
      <c r="F17" s="15" t="n">
        <v>0.7</v>
      </c>
      <c r="G17" s="16" t="n">
        <v>0.12</v>
      </c>
      <c r="H17" s="17" t="n">
        <v>27</v>
      </c>
      <c r="I17" s="18">
        <f>IF($B17="","",(Rates!$B$6+($B17+$C17)*Rates!$B$7+($B17+$C17)*Rates!$B$8+Rates!$B$9+($B17+$C17)*Rates!$B$10)*(IF(Rates!$B$11&gt;0,1,1+0.2)))</f>
        <v/>
      </c>
      <c r="J17" s="18">
        <f>IF($B17="","",($B17+$C17)*$G17*(IF(Rates!$B$11&gt;0,1,1+0.2)))</f>
        <v/>
      </c>
      <c r="K17" s="18">
        <f>IF($B17="","",(IF(Rates!$B$11&gt;0,IFERROR(($B17+$C17)/(1+Rates!$B$11),0),($B17+$C17)))-((Rates!$B$6+($B17+$C17)*Rates!$B$7+($B17+$C17)*Rates!$B$8+Rates!$B$9+($B17+$C17)*Rates!$B$10)*(IF(Rates!$B$11&gt;0,1,1+0.2)))-(($B17+$C17)*$G17*(IF(Rates!$B$11&gt;0,1,1+0.2)))-$D17-$E17-(IF(Rates!$B$11&gt;0,IFERROR($F17/(1+Rates!$B$11),0),$F17)))</f>
        <v/>
      </c>
      <c r="L17" s="19">
        <f>IF($B17="","",IFERROR(((IF(Rates!$B$11&gt;0,IFERROR(($B17+$C17)/(1+Rates!$B$11),0),($B17+$C17)))-((Rates!$B$6+($B17+$C17)*Rates!$B$7+($B17+$C17)*Rates!$B$8+Rates!$B$9+($B17+$C17)*Rates!$B$10)*(IF(Rates!$B$11&gt;0,1,1+0.2)))-(($B17+$C17)*$G17*(IF(Rates!$B$11&gt;0,1,1+0.2)))-$D17-$E17-(IF(Rates!$B$11&gt;0,IFERROR($F17/(1+Rates!$B$11),0),$F17)))/($B17+$C17),""))</f>
        <v/>
      </c>
      <c r="M17" s="18">
        <f>IF($B17="","",((IF(Rates!$B$11&gt;0,IFERROR(($B17+$C17)/(1+Rates!$B$11),0),($B17+$C17)))-((Rates!$B$6+($B17+$C17)*Rates!$B$7+($B17+$C17)*Rates!$B$8+Rates!$B$9+($B17+$C17)*Rates!$B$10)*(IF(Rates!$B$11&gt;0,1,1+0.2)))-(($B17+$C17)*$G17*(IF(Rates!$B$11&gt;0,1,1+0.2)))-$D17-$E17-(IF(Rates!$B$11&gt;0,IFERROR($F17/(1+Rates!$B$11),0),$F17)))*$H17)</f>
        <v/>
      </c>
      <c r="N17" s="18">
        <f>IF($B17="","",((IF(Rates!$B$11&gt;0,IFERROR(($B17+$C17)/(1+Rates!$B$11),0),($B17+$C17)))-((Rates!$B$6+($B17+$C17)*Rates!$B$7+($B17+$C17)*Rates!$B$8+Rates!$B$9+($B17+$C17)*Rates!$B$10)*(IF(Rates!$B$11&gt;0,1,1+0.2)))-(($B17+$C17)*$G17*(IF(Rates!$B$11&gt;0,1,1+0.2)))-$D17-$E17-(IF(Rates!$B$11&gt;0,IFERROR($F17/(1+Rates!$B$11),0),$F17)))*$H17+ROW()/1000000)</f>
        <v/>
      </c>
    </row>
    <row r="18">
      <c r="A18" s="14" t="inlineStr">
        <is>
          <t>Personalised keyring</t>
        </is>
      </c>
      <c r="B18" s="15" t="n">
        <v>6</v>
      </c>
      <c r="C18" s="15" t="n">
        <v>1.5</v>
      </c>
      <c r="D18" s="15" t="n">
        <v>2.4</v>
      </c>
      <c r="E18" s="15" t="n">
        <v>1.45</v>
      </c>
      <c r="F18" s="15" t="n">
        <v>0.35</v>
      </c>
      <c r="G18" s="16" t="n">
        <v>0.15</v>
      </c>
      <c r="H18" s="17" t="n">
        <v>34</v>
      </c>
      <c r="I18" s="18">
        <f>IF($B18="","",(Rates!$B$6+($B18+$C18)*Rates!$B$7+($B18+$C18)*Rates!$B$8+Rates!$B$9+($B18+$C18)*Rates!$B$10)*(IF(Rates!$B$11&gt;0,1,1+0.2)))</f>
        <v/>
      </c>
      <c r="J18" s="18">
        <f>IF($B18="","",($B18+$C18)*$G18*(IF(Rates!$B$11&gt;0,1,1+0.2)))</f>
        <v/>
      </c>
      <c r="K18" s="18">
        <f>IF($B18="","",(IF(Rates!$B$11&gt;0,IFERROR(($B18+$C18)/(1+Rates!$B$11),0),($B18+$C18)))-((Rates!$B$6+($B18+$C18)*Rates!$B$7+($B18+$C18)*Rates!$B$8+Rates!$B$9+($B18+$C18)*Rates!$B$10)*(IF(Rates!$B$11&gt;0,1,1+0.2)))-(($B18+$C18)*$G18*(IF(Rates!$B$11&gt;0,1,1+0.2)))-$D18-$E18-(IF(Rates!$B$11&gt;0,IFERROR($F18/(1+Rates!$B$11),0),$F18)))</f>
        <v/>
      </c>
      <c r="L18" s="19">
        <f>IF($B18="","",IFERROR(((IF(Rates!$B$11&gt;0,IFERROR(($B18+$C18)/(1+Rates!$B$11),0),($B18+$C18)))-((Rates!$B$6+($B18+$C18)*Rates!$B$7+($B18+$C18)*Rates!$B$8+Rates!$B$9+($B18+$C18)*Rates!$B$10)*(IF(Rates!$B$11&gt;0,1,1+0.2)))-(($B18+$C18)*$G18*(IF(Rates!$B$11&gt;0,1,1+0.2)))-$D18-$E18-(IF(Rates!$B$11&gt;0,IFERROR($F18/(1+Rates!$B$11),0),$F18)))/($B18+$C18),""))</f>
        <v/>
      </c>
      <c r="M18" s="18">
        <f>IF($B18="","",((IF(Rates!$B$11&gt;0,IFERROR(($B18+$C18)/(1+Rates!$B$11),0),($B18+$C18)))-((Rates!$B$6+($B18+$C18)*Rates!$B$7+($B18+$C18)*Rates!$B$8+Rates!$B$9+($B18+$C18)*Rates!$B$10)*(IF(Rates!$B$11&gt;0,1,1+0.2)))-(($B18+$C18)*$G18*(IF(Rates!$B$11&gt;0,1,1+0.2)))-$D18-$E18-(IF(Rates!$B$11&gt;0,IFERROR($F18/(1+Rates!$B$11),0),$F18)))*$H18)</f>
        <v/>
      </c>
      <c r="N18" s="18">
        <f>IF($B18="","",((IF(Rates!$B$11&gt;0,IFERROR(($B18+$C18)/(1+Rates!$B$11),0),($B18+$C18)))-((Rates!$B$6+($B18+$C18)*Rates!$B$7+($B18+$C18)*Rates!$B$8+Rates!$B$9+($B18+$C18)*Rates!$B$10)*(IF(Rates!$B$11&gt;0,1,1+0.2)))-(($B18+$C18)*$G18*(IF(Rates!$B$11&gt;0,1,1+0.2)))-$D18-$E18-(IF(Rates!$B$11&gt;0,IFERROR($F18/(1+Rates!$B$11),0),$F18)))*$H18+ROW()/1000000)</f>
        <v/>
      </c>
    </row>
    <row r="19">
      <c r="A19" s="14" t="inlineStr">
        <is>
          <t>Sticker pack</t>
        </is>
      </c>
      <c r="B19" s="15" t="n">
        <v>4.5</v>
      </c>
      <c r="C19" s="15" t="n">
        <v>1.2</v>
      </c>
      <c r="D19" s="15" t="n">
        <v>1.35</v>
      </c>
      <c r="E19" s="15" t="n">
        <v>1.1</v>
      </c>
      <c r="F19" s="15" t="n">
        <v>0.15</v>
      </c>
      <c r="G19" s="16" t="n">
        <v>0.15</v>
      </c>
      <c r="H19" s="17" t="n">
        <v>21</v>
      </c>
      <c r="I19" s="18">
        <f>IF($B19="","",(Rates!$B$6+($B19+$C19)*Rates!$B$7+($B19+$C19)*Rates!$B$8+Rates!$B$9+($B19+$C19)*Rates!$B$10)*(IF(Rates!$B$11&gt;0,1,1+0.2)))</f>
        <v/>
      </c>
      <c r="J19" s="18">
        <f>IF($B19="","",($B19+$C19)*$G19*(IF(Rates!$B$11&gt;0,1,1+0.2)))</f>
        <v/>
      </c>
      <c r="K19" s="18">
        <f>IF($B19="","",(IF(Rates!$B$11&gt;0,IFERROR(($B19+$C19)/(1+Rates!$B$11),0),($B19+$C19)))-((Rates!$B$6+($B19+$C19)*Rates!$B$7+($B19+$C19)*Rates!$B$8+Rates!$B$9+($B19+$C19)*Rates!$B$10)*(IF(Rates!$B$11&gt;0,1,1+0.2)))-(($B19+$C19)*$G19*(IF(Rates!$B$11&gt;0,1,1+0.2)))-$D19-$E19-(IF(Rates!$B$11&gt;0,IFERROR($F19/(1+Rates!$B$11),0),$F19)))</f>
        <v/>
      </c>
      <c r="L19" s="19">
        <f>IF($B19="","",IFERROR(((IF(Rates!$B$11&gt;0,IFERROR(($B19+$C19)/(1+Rates!$B$11),0),($B19+$C19)))-((Rates!$B$6+($B19+$C19)*Rates!$B$7+($B19+$C19)*Rates!$B$8+Rates!$B$9+($B19+$C19)*Rates!$B$10)*(IF(Rates!$B$11&gt;0,1,1+0.2)))-(($B19+$C19)*$G19*(IF(Rates!$B$11&gt;0,1,1+0.2)))-$D19-$E19-(IF(Rates!$B$11&gt;0,IFERROR($F19/(1+Rates!$B$11),0),$F19)))/($B19+$C19),""))</f>
        <v/>
      </c>
      <c r="M19" s="18">
        <f>IF($B19="","",((IF(Rates!$B$11&gt;0,IFERROR(($B19+$C19)/(1+Rates!$B$11),0),($B19+$C19)))-((Rates!$B$6+($B19+$C19)*Rates!$B$7+($B19+$C19)*Rates!$B$8+Rates!$B$9+($B19+$C19)*Rates!$B$10)*(IF(Rates!$B$11&gt;0,1,1+0.2)))-(($B19+$C19)*$G19*(IF(Rates!$B$11&gt;0,1,1+0.2)))-$D19-$E19-(IF(Rates!$B$11&gt;0,IFERROR($F19/(1+Rates!$B$11),0),$F19)))*$H19)</f>
        <v/>
      </c>
      <c r="N19" s="18">
        <f>IF($B19="","",((IF(Rates!$B$11&gt;0,IFERROR(($B19+$C19)/(1+Rates!$B$11),0),($B19+$C19)))-((Rates!$B$6+($B19+$C19)*Rates!$B$7+($B19+$C19)*Rates!$B$8+Rates!$B$9+($B19+$C19)*Rates!$B$10)*(IF(Rates!$B$11&gt;0,1,1+0.2)))-(($B19+$C19)*$G19*(IF(Rates!$B$11&gt;0,1,1+0.2)))-$D19-$E19-(IF(Rates!$B$11&gt;0,IFERROR($F19/(1+Rates!$B$11),0),$F19)))*$H19+ROW()/1000000)</f>
        <v/>
      </c>
    </row>
    <row r="20">
      <c r="A20" s="14" t="inlineStr">
        <is>
          <t>Stoneware bowl set</t>
        </is>
      </c>
      <c r="B20" s="15" t="n">
        <v>88</v>
      </c>
      <c r="C20" s="15" t="n">
        <v>6.95</v>
      </c>
      <c r="D20" s="15" t="n">
        <v>29</v>
      </c>
      <c r="E20" s="15" t="n">
        <v>6.1</v>
      </c>
      <c r="F20" s="15" t="n">
        <v>2.1</v>
      </c>
      <c r="G20" s="16" t="n">
        <v>0.12</v>
      </c>
      <c r="H20" s="17" t="n">
        <v>8</v>
      </c>
      <c r="I20" s="18">
        <f>IF($B20="","",(Rates!$B$6+($B20+$C20)*Rates!$B$7+($B20+$C20)*Rates!$B$8+Rates!$B$9+($B20+$C20)*Rates!$B$10)*(IF(Rates!$B$11&gt;0,1,1+0.2)))</f>
        <v/>
      </c>
      <c r="J20" s="18">
        <f>IF($B20="","",($B20+$C20)*$G20*(IF(Rates!$B$11&gt;0,1,1+0.2)))</f>
        <v/>
      </c>
      <c r="K20" s="18">
        <f>IF($B20="","",(IF(Rates!$B$11&gt;0,IFERROR(($B20+$C20)/(1+Rates!$B$11),0),($B20+$C20)))-((Rates!$B$6+($B20+$C20)*Rates!$B$7+($B20+$C20)*Rates!$B$8+Rates!$B$9+($B20+$C20)*Rates!$B$10)*(IF(Rates!$B$11&gt;0,1,1+0.2)))-(($B20+$C20)*$G20*(IF(Rates!$B$11&gt;0,1,1+0.2)))-$D20-$E20-(IF(Rates!$B$11&gt;0,IFERROR($F20/(1+Rates!$B$11),0),$F20)))</f>
        <v/>
      </c>
      <c r="L20" s="19">
        <f>IF($B20="","",IFERROR(((IF(Rates!$B$11&gt;0,IFERROR(($B20+$C20)/(1+Rates!$B$11),0),($B20+$C20)))-((Rates!$B$6+($B20+$C20)*Rates!$B$7+($B20+$C20)*Rates!$B$8+Rates!$B$9+($B20+$C20)*Rates!$B$10)*(IF(Rates!$B$11&gt;0,1,1+0.2)))-(($B20+$C20)*$G20*(IF(Rates!$B$11&gt;0,1,1+0.2)))-$D20-$E20-(IF(Rates!$B$11&gt;0,IFERROR($F20/(1+Rates!$B$11),0),$F20)))/($B20+$C20),""))</f>
        <v/>
      </c>
      <c r="M20" s="18">
        <f>IF($B20="","",((IF(Rates!$B$11&gt;0,IFERROR(($B20+$C20)/(1+Rates!$B$11),0),($B20+$C20)))-((Rates!$B$6+($B20+$C20)*Rates!$B$7+($B20+$C20)*Rates!$B$8+Rates!$B$9+($B20+$C20)*Rates!$B$10)*(IF(Rates!$B$11&gt;0,1,1+0.2)))-(($B20+$C20)*$G20*(IF(Rates!$B$11&gt;0,1,1+0.2)))-$D20-$E20-(IF(Rates!$B$11&gt;0,IFERROR($F20/(1+Rates!$B$11),0),$F20)))*$H20)</f>
        <v/>
      </c>
      <c r="N20" s="18">
        <f>IF($B20="","",((IF(Rates!$B$11&gt;0,IFERROR(($B20+$C20)/(1+Rates!$B$11),0),($B20+$C20)))-((Rates!$B$6+($B20+$C20)*Rates!$B$7+($B20+$C20)*Rates!$B$8+Rates!$B$9+($B20+$C20)*Rates!$B$10)*(IF(Rates!$B$11&gt;0,1,1+0.2)))-(($B20+$C20)*$G20*(IF(Rates!$B$11&gt;0,1,1+0.2)))-$D20-$E20-(IF(Rates!$B$11&gt;0,IFERROR($F20/(1+Rates!$B$11),0),$F20)))*$H20+ROW()/1000000)</f>
        <v/>
      </c>
    </row>
    <row r="21">
      <c r="A21" s="14" t="inlineStr">
        <is>
          <t>Embroidered hoop art</t>
        </is>
      </c>
      <c r="B21" s="15" t="n">
        <v>45</v>
      </c>
      <c r="C21" s="15" t="n">
        <v>3.95</v>
      </c>
      <c r="D21" s="15" t="n">
        <v>11.2</v>
      </c>
      <c r="E21" s="15" t="n">
        <v>3.2</v>
      </c>
      <c r="F21" s="15" t="n">
        <v>0.75</v>
      </c>
      <c r="G21" s="16" t="n">
        <v>0</v>
      </c>
      <c r="H21" s="17" t="n">
        <v>11</v>
      </c>
      <c r="I21" s="18">
        <f>IF($B21="","",(Rates!$B$6+($B21+$C21)*Rates!$B$7+($B21+$C21)*Rates!$B$8+Rates!$B$9+($B21+$C21)*Rates!$B$10)*(IF(Rates!$B$11&gt;0,1,1+0.2)))</f>
        <v/>
      </c>
      <c r="J21" s="18">
        <f>IF($B21="","",($B21+$C21)*$G21*(IF(Rates!$B$11&gt;0,1,1+0.2)))</f>
        <v/>
      </c>
      <c r="K21" s="18">
        <f>IF($B21="","",(IF(Rates!$B$11&gt;0,IFERROR(($B21+$C21)/(1+Rates!$B$11),0),($B21+$C21)))-((Rates!$B$6+($B21+$C21)*Rates!$B$7+($B21+$C21)*Rates!$B$8+Rates!$B$9+($B21+$C21)*Rates!$B$10)*(IF(Rates!$B$11&gt;0,1,1+0.2)))-(($B21+$C21)*$G21*(IF(Rates!$B$11&gt;0,1,1+0.2)))-$D21-$E21-(IF(Rates!$B$11&gt;0,IFERROR($F21/(1+Rates!$B$11),0),$F21)))</f>
        <v/>
      </c>
      <c r="L21" s="19">
        <f>IF($B21="","",IFERROR(((IF(Rates!$B$11&gt;0,IFERROR(($B21+$C21)/(1+Rates!$B$11),0),($B21+$C21)))-((Rates!$B$6+($B21+$C21)*Rates!$B$7+($B21+$C21)*Rates!$B$8+Rates!$B$9+($B21+$C21)*Rates!$B$10)*(IF(Rates!$B$11&gt;0,1,1+0.2)))-(($B21+$C21)*$G21*(IF(Rates!$B$11&gt;0,1,1+0.2)))-$D21-$E21-(IF(Rates!$B$11&gt;0,IFERROR($F21/(1+Rates!$B$11),0),$F21)))/($B21+$C21),""))</f>
        <v/>
      </c>
      <c r="M21" s="18">
        <f>IF($B21="","",((IF(Rates!$B$11&gt;0,IFERROR(($B21+$C21)/(1+Rates!$B$11),0),($B21+$C21)))-((Rates!$B$6+($B21+$C21)*Rates!$B$7+($B21+$C21)*Rates!$B$8+Rates!$B$9+($B21+$C21)*Rates!$B$10)*(IF(Rates!$B$11&gt;0,1,1+0.2)))-(($B21+$C21)*$G21*(IF(Rates!$B$11&gt;0,1,1+0.2)))-$D21-$E21-(IF(Rates!$B$11&gt;0,IFERROR($F21/(1+Rates!$B$11),0),$F21)))*$H21)</f>
        <v/>
      </c>
      <c r="N21" s="18">
        <f>IF($B21="","",((IF(Rates!$B$11&gt;0,IFERROR(($B21+$C21)/(1+Rates!$B$11),0),($B21+$C21)))-((Rates!$B$6+($B21+$C21)*Rates!$B$7+($B21+$C21)*Rates!$B$8+Rates!$B$9+($B21+$C21)*Rates!$B$10)*(IF(Rates!$B$11&gt;0,1,1+0.2)))-(($B21+$C21)*$G21*(IF(Rates!$B$11&gt;0,1,1+0.2)))-$D21-$E21-(IF(Rates!$B$11&gt;0,IFERROR($F21/(1+Rates!$B$11),0),$F21)))*$H21+ROW()/1000000)</f>
        <v/>
      </c>
    </row>
    <row r="22">
      <c r="A22" s="14" t="inlineStr">
        <is>
          <t>Turned wooden spoon</t>
        </is>
      </c>
      <c r="B22" s="15" t="n">
        <v>16</v>
      </c>
      <c r="C22" s="15" t="n">
        <v>2.6</v>
      </c>
      <c r="D22" s="15" t="n">
        <v>3.8</v>
      </c>
      <c r="E22" s="15" t="n">
        <v>2.2</v>
      </c>
      <c r="F22" s="15" t="n">
        <v>0.3</v>
      </c>
      <c r="G22" s="16" t="n">
        <v>0.15</v>
      </c>
      <c r="H22" s="17" t="n">
        <v>25</v>
      </c>
      <c r="I22" s="18">
        <f>IF($B22="","",(Rates!$B$6+($B22+$C22)*Rates!$B$7+($B22+$C22)*Rates!$B$8+Rates!$B$9+($B22+$C22)*Rates!$B$10)*(IF(Rates!$B$11&gt;0,1,1+0.2)))</f>
        <v/>
      </c>
      <c r="J22" s="18">
        <f>IF($B22="","",($B22+$C22)*$G22*(IF(Rates!$B$11&gt;0,1,1+0.2)))</f>
        <v/>
      </c>
      <c r="K22" s="18">
        <f>IF($B22="","",(IF(Rates!$B$11&gt;0,IFERROR(($B22+$C22)/(1+Rates!$B$11),0),($B22+$C22)))-((Rates!$B$6+($B22+$C22)*Rates!$B$7+($B22+$C22)*Rates!$B$8+Rates!$B$9+($B22+$C22)*Rates!$B$10)*(IF(Rates!$B$11&gt;0,1,1+0.2)))-(($B22+$C22)*$G22*(IF(Rates!$B$11&gt;0,1,1+0.2)))-$D22-$E22-(IF(Rates!$B$11&gt;0,IFERROR($F22/(1+Rates!$B$11),0),$F22)))</f>
        <v/>
      </c>
      <c r="L22" s="19">
        <f>IF($B22="","",IFERROR(((IF(Rates!$B$11&gt;0,IFERROR(($B22+$C22)/(1+Rates!$B$11),0),($B22+$C22)))-((Rates!$B$6+($B22+$C22)*Rates!$B$7+($B22+$C22)*Rates!$B$8+Rates!$B$9+($B22+$C22)*Rates!$B$10)*(IF(Rates!$B$11&gt;0,1,1+0.2)))-(($B22+$C22)*$G22*(IF(Rates!$B$11&gt;0,1,1+0.2)))-$D22-$E22-(IF(Rates!$B$11&gt;0,IFERROR($F22/(1+Rates!$B$11),0),$F22)))/($B22+$C22),""))</f>
        <v/>
      </c>
      <c r="M22" s="18">
        <f>IF($B22="","",((IF(Rates!$B$11&gt;0,IFERROR(($B22+$C22)/(1+Rates!$B$11),0),($B22+$C22)))-((Rates!$B$6+($B22+$C22)*Rates!$B$7+($B22+$C22)*Rates!$B$8+Rates!$B$9+($B22+$C22)*Rates!$B$10)*(IF(Rates!$B$11&gt;0,1,1+0.2)))-(($B22+$C22)*$G22*(IF(Rates!$B$11&gt;0,1,1+0.2)))-$D22-$E22-(IF(Rates!$B$11&gt;0,IFERROR($F22/(1+Rates!$B$11),0),$F22)))*$H22)</f>
        <v/>
      </c>
      <c r="N22" s="18">
        <f>IF($B22="","",((IF(Rates!$B$11&gt;0,IFERROR(($B22+$C22)/(1+Rates!$B$11),0),($B22+$C22)))-((Rates!$B$6+($B22+$C22)*Rates!$B$7+($B22+$C22)*Rates!$B$8+Rates!$B$9+($B22+$C22)*Rates!$B$10)*(IF(Rates!$B$11&gt;0,1,1+0.2)))-(($B22+$C22)*$G22*(IF(Rates!$B$11&gt;0,1,1+0.2)))-$D22-$E22-(IF(Rates!$B$11&gt;0,IFERROR($F22/(1+Rates!$B$11),0),$F22)))*$H22+ROW()/1000000)</f>
        <v/>
      </c>
    </row>
    <row r="24">
      <c r="A24" s="8" t="inlineStr">
        <is>
          <t>Listings</t>
        </is>
      </c>
      <c r="B24" s="20">
        <f>COUNT($B$8:$B$22)</f>
        <v/>
      </c>
    </row>
    <row r="25">
      <c r="A25" s="8" t="inlineStr">
        <is>
          <t>Units a month</t>
        </is>
      </c>
      <c r="B25" s="20">
        <f>SUM($H$8:$H$22)</f>
        <v/>
      </c>
    </row>
    <row r="26">
      <c r="A26" s="21" t="inlineStr">
        <is>
          <t>Contribution a month</t>
        </is>
      </c>
      <c r="B26" s="22">
        <f>SUM($M$8:$M$22)</f>
        <v/>
      </c>
    </row>
    <row r="27">
      <c r="A27" s="8" t="inlineStr">
        <is>
          <t>Average contribution a unit</t>
        </is>
      </c>
      <c r="B27" s="23">
        <f>IFERROR(SUM($M$8:$M$22)/SUM($H$8:$H$22),"")</f>
        <v/>
      </c>
    </row>
  </sheetData>
  <conditionalFormatting sqref="K8:K22">
    <cfRule type="cellIs" priority="1" operator="lessThan" dxfId="0">
      <formula>0</formula>
    </cfRule>
  </conditionalFormatting>
  <conditionalFormatting sqref="M8:M22">
    <cfRule type="cellIs" priority="2" operator="lessThan" dxfId="0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7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24" customWidth="1" min="2" max="2"/>
    <col width="12" customWidth="1" min="3" max="3"/>
    <col width="14" customWidth="1" min="4" max="4"/>
    <col width="10" customWidth="1" min="5" max="5"/>
    <col width="13" customWidth="1" min="6" max="6"/>
    <col width="13" customWidth="1" min="7" max="7"/>
  </cols>
  <sheetData>
    <row r="1">
      <c r="A1" s="1" t="inlineStr">
        <is>
          <t>ZAZEN TAX</t>
        </is>
      </c>
    </row>
    <row r="2">
      <c r="A2" s="2" t="inlineStr">
        <is>
          <t>By what each listing actually contributes</t>
        </is>
      </c>
    </row>
    <row r="3">
      <c r="A3" s="3" t="inlineStr">
        <is>
          <t>Pounds a month, not margin percentage.</t>
        </is>
      </c>
    </row>
    <row r="6" ht="28" customHeight="1">
      <c r="A6" s="13" t="inlineStr">
        <is>
          <t>Rank</t>
        </is>
      </c>
      <c r="B6" s="13" t="inlineStr">
        <is>
          <t>Listing</t>
        </is>
      </c>
      <c r="C6" s="13" t="inlineStr">
        <is>
          <t>Units a month</t>
        </is>
      </c>
      <c r="D6" s="13" t="inlineStr">
        <is>
          <t>Contribution a unit</t>
        </is>
      </c>
      <c r="E6" s="13" t="inlineStr">
        <is>
          <t>Margin</t>
        </is>
      </c>
      <c r="F6" s="13" t="inlineStr">
        <is>
          <t>A month</t>
        </is>
      </c>
      <c r="G6" s="13" t="inlineStr">
        <is>
          <t>Running share</t>
        </is>
      </c>
    </row>
    <row r="7">
      <c r="A7" s="20" t="n">
        <v>1</v>
      </c>
      <c r="B7" s="24">
        <f>IFERROR(INDEX(Listings!$A$8:$A$22,MATCH(LARGE(Listings!$N$8:$N$22,1),Listings!$N$8:$N$22,0)),"")</f>
        <v/>
      </c>
      <c r="C7" s="25">
        <f>IFERROR(INDEX(Listings!$H$8:$H$22,MATCH(LARGE(Listings!$N$8:$N$22,1),Listings!$N$8:$N$22,0)),"")</f>
        <v/>
      </c>
      <c r="D7" s="18">
        <f>IFERROR(INDEX(Listings!$K$8:$K$22,MATCH(LARGE(Listings!$N$8:$N$22,1),Listings!$N$8:$N$22,0)),"")</f>
        <v/>
      </c>
      <c r="E7" s="19">
        <f>IFERROR(INDEX(Listings!$L$8:$L$22,MATCH(LARGE(Listings!$N$8:$N$22,1),Listings!$N$8:$N$22,0)),"")</f>
        <v/>
      </c>
      <c r="F7" s="18">
        <f>IFERROR(INDEX(Listings!$M$8:$M$22,MATCH(LARGE(Listings!$N$8:$N$22,1),Listings!$N$8:$N$22,0)),"")</f>
        <v/>
      </c>
      <c r="G7" s="19">
        <f>IFERROR(SUM($F$7:$F7)/Listings!$B$26,"")</f>
        <v/>
      </c>
    </row>
    <row r="8">
      <c r="A8" s="20" t="n">
        <v>2</v>
      </c>
      <c r="B8" s="24">
        <f>IFERROR(INDEX(Listings!$A$8:$A$22,MATCH(LARGE(Listings!$N$8:$N$22,2),Listings!$N$8:$N$22,0)),"")</f>
        <v/>
      </c>
      <c r="C8" s="25">
        <f>IFERROR(INDEX(Listings!$H$8:$H$22,MATCH(LARGE(Listings!$N$8:$N$22,2),Listings!$N$8:$N$22,0)),"")</f>
        <v/>
      </c>
      <c r="D8" s="18">
        <f>IFERROR(INDEX(Listings!$K$8:$K$22,MATCH(LARGE(Listings!$N$8:$N$22,2),Listings!$N$8:$N$22,0)),"")</f>
        <v/>
      </c>
      <c r="E8" s="19">
        <f>IFERROR(INDEX(Listings!$L$8:$L$22,MATCH(LARGE(Listings!$N$8:$N$22,2),Listings!$N$8:$N$22,0)),"")</f>
        <v/>
      </c>
      <c r="F8" s="18">
        <f>IFERROR(INDEX(Listings!$M$8:$M$22,MATCH(LARGE(Listings!$N$8:$N$22,2),Listings!$N$8:$N$22,0)),"")</f>
        <v/>
      </c>
      <c r="G8" s="19">
        <f>IFERROR(SUM($F$7:$F8)/Listings!$B$26,"")</f>
        <v/>
      </c>
    </row>
    <row r="9">
      <c r="A9" s="20" t="n">
        <v>3</v>
      </c>
      <c r="B9" s="24">
        <f>IFERROR(INDEX(Listings!$A$8:$A$22,MATCH(LARGE(Listings!$N$8:$N$22,3),Listings!$N$8:$N$22,0)),"")</f>
        <v/>
      </c>
      <c r="C9" s="25">
        <f>IFERROR(INDEX(Listings!$H$8:$H$22,MATCH(LARGE(Listings!$N$8:$N$22,3),Listings!$N$8:$N$22,0)),"")</f>
        <v/>
      </c>
      <c r="D9" s="18">
        <f>IFERROR(INDEX(Listings!$K$8:$K$22,MATCH(LARGE(Listings!$N$8:$N$22,3),Listings!$N$8:$N$22,0)),"")</f>
        <v/>
      </c>
      <c r="E9" s="19">
        <f>IFERROR(INDEX(Listings!$L$8:$L$22,MATCH(LARGE(Listings!$N$8:$N$22,3),Listings!$N$8:$N$22,0)),"")</f>
        <v/>
      </c>
      <c r="F9" s="18">
        <f>IFERROR(INDEX(Listings!$M$8:$M$22,MATCH(LARGE(Listings!$N$8:$N$22,3),Listings!$N$8:$N$22,0)),"")</f>
        <v/>
      </c>
      <c r="G9" s="19">
        <f>IFERROR(SUM($F$7:$F9)/Listings!$B$26,"")</f>
        <v/>
      </c>
    </row>
    <row r="10">
      <c r="A10" s="20" t="n">
        <v>4</v>
      </c>
      <c r="B10" s="24">
        <f>IFERROR(INDEX(Listings!$A$8:$A$22,MATCH(LARGE(Listings!$N$8:$N$22,4),Listings!$N$8:$N$22,0)),"")</f>
        <v/>
      </c>
      <c r="C10" s="25">
        <f>IFERROR(INDEX(Listings!$H$8:$H$22,MATCH(LARGE(Listings!$N$8:$N$22,4),Listings!$N$8:$N$22,0)),"")</f>
        <v/>
      </c>
      <c r="D10" s="18">
        <f>IFERROR(INDEX(Listings!$K$8:$K$22,MATCH(LARGE(Listings!$N$8:$N$22,4),Listings!$N$8:$N$22,0)),"")</f>
        <v/>
      </c>
      <c r="E10" s="19">
        <f>IFERROR(INDEX(Listings!$L$8:$L$22,MATCH(LARGE(Listings!$N$8:$N$22,4),Listings!$N$8:$N$22,0)),"")</f>
        <v/>
      </c>
      <c r="F10" s="18">
        <f>IFERROR(INDEX(Listings!$M$8:$M$22,MATCH(LARGE(Listings!$N$8:$N$22,4),Listings!$N$8:$N$22,0)),"")</f>
        <v/>
      </c>
      <c r="G10" s="19">
        <f>IFERROR(SUM($F$7:$F10)/Listings!$B$26,"")</f>
        <v/>
      </c>
    </row>
    <row r="11">
      <c r="A11" s="20" t="n">
        <v>5</v>
      </c>
      <c r="B11" s="24">
        <f>IFERROR(INDEX(Listings!$A$8:$A$22,MATCH(LARGE(Listings!$N$8:$N$22,5),Listings!$N$8:$N$22,0)),"")</f>
        <v/>
      </c>
      <c r="C11" s="25">
        <f>IFERROR(INDEX(Listings!$H$8:$H$22,MATCH(LARGE(Listings!$N$8:$N$22,5),Listings!$N$8:$N$22,0)),"")</f>
        <v/>
      </c>
      <c r="D11" s="18">
        <f>IFERROR(INDEX(Listings!$K$8:$K$22,MATCH(LARGE(Listings!$N$8:$N$22,5),Listings!$N$8:$N$22,0)),"")</f>
        <v/>
      </c>
      <c r="E11" s="19">
        <f>IFERROR(INDEX(Listings!$L$8:$L$22,MATCH(LARGE(Listings!$N$8:$N$22,5),Listings!$N$8:$N$22,0)),"")</f>
        <v/>
      </c>
      <c r="F11" s="18">
        <f>IFERROR(INDEX(Listings!$M$8:$M$22,MATCH(LARGE(Listings!$N$8:$N$22,5),Listings!$N$8:$N$22,0)),"")</f>
        <v/>
      </c>
      <c r="G11" s="19">
        <f>IFERROR(SUM($F$7:$F11)/Listings!$B$26,"")</f>
        <v/>
      </c>
    </row>
    <row r="12">
      <c r="A12" s="20" t="n">
        <v>6</v>
      </c>
      <c r="B12" s="24">
        <f>IFERROR(INDEX(Listings!$A$8:$A$22,MATCH(LARGE(Listings!$N$8:$N$22,6),Listings!$N$8:$N$22,0)),"")</f>
        <v/>
      </c>
      <c r="C12" s="25">
        <f>IFERROR(INDEX(Listings!$H$8:$H$22,MATCH(LARGE(Listings!$N$8:$N$22,6),Listings!$N$8:$N$22,0)),"")</f>
        <v/>
      </c>
      <c r="D12" s="18">
        <f>IFERROR(INDEX(Listings!$K$8:$K$22,MATCH(LARGE(Listings!$N$8:$N$22,6),Listings!$N$8:$N$22,0)),"")</f>
        <v/>
      </c>
      <c r="E12" s="19">
        <f>IFERROR(INDEX(Listings!$L$8:$L$22,MATCH(LARGE(Listings!$N$8:$N$22,6),Listings!$N$8:$N$22,0)),"")</f>
        <v/>
      </c>
      <c r="F12" s="18">
        <f>IFERROR(INDEX(Listings!$M$8:$M$22,MATCH(LARGE(Listings!$N$8:$N$22,6),Listings!$N$8:$N$22,0)),"")</f>
        <v/>
      </c>
      <c r="G12" s="19">
        <f>IFERROR(SUM($F$7:$F12)/Listings!$B$26,"")</f>
        <v/>
      </c>
    </row>
    <row r="13">
      <c r="A13" s="20" t="n">
        <v>7</v>
      </c>
      <c r="B13" s="24">
        <f>IFERROR(INDEX(Listings!$A$8:$A$22,MATCH(LARGE(Listings!$N$8:$N$22,7),Listings!$N$8:$N$22,0)),"")</f>
        <v/>
      </c>
      <c r="C13" s="25">
        <f>IFERROR(INDEX(Listings!$H$8:$H$22,MATCH(LARGE(Listings!$N$8:$N$22,7),Listings!$N$8:$N$22,0)),"")</f>
        <v/>
      </c>
      <c r="D13" s="18">
        <f>IFERROR(INDEX(Listings!$K$8:$K$22,MATCH(LARGE(Listings!$N$8:$N$22,7),Listings!$N$8:$N$22,0)),"")</f>
        <v/>
      </c>
      <c r="E13" s="19">
        <f>IFERROR(INDEX(Listings!$L$8:$L$22,MATCH(LARGE(Listings!$N$8:$N$22,7),Listings!$N$8:$N$22,0)),"")</f>
        <v/>
      </c>
      <c r="F13" s="18">
        <f>IFERROR(INDEX(Listings!$M$8:$M$22,MATCH(LARGE(Listings!$N$8:$N$22,7),Listings!$N$8:$N$22,0)),"")</f>
        <v/>
      </c>
      <c r="G13" s="19">
        <f>IFERROR(SUM($F$7:$F13)/Listings!$B$26,"")</f>
        <v/>
      </c>
    </row>
    <row r="14">
      <c r="A14" s="20" t="n">
        <v>8</v>
      </c>
      <c r="B14" s="24">
        <f>IFERROR(INDEX(Listings!$A$8:$A$22,MATCH(LARGE(Listings!$N$8:$N$22,8),Listings!$N$8:$N$22,0)),"")</f>
        <v/>
      </c>
      <c r="C14" s="25">
        <f>IFERROR(INDEX(Listings!$H$8:$H$22,MATCH(LARGE(Listings!$N$8:$N$22,8),Listings!$N$8:$N$22,0)),"")</f>
        <v/>
      </c>
      <c r="D14" s="18">
        <f>IFERROR(INDEX(Listings!$K$8:$K$22,MATCH(LARGE(Listings!$N$8:$N$22,8),Listings!$N$8:$N$22,0)),"")</f>
        <v/>
      </c>
      <c r="E14" s="19">
        <f>IFERROR(INDEX(Listings!$L$8:$L$22,MATCH(LARGE(Listings!$N$8:$N$22,8),Listings!$N$8:$N$22,0)),"")</f>
        <v/>
      </c>
      <c r="F14" s="18">
        <f>IFERROR(INDEX(Listings!$M$8:$M$22,MATCH(LARGE(Listings!$N$8:$N$22,8),Listings!$N$8:$N$22,0)),"")</f>
        <v/>
      </c>
      <c r="G14" s="19">
        <f>IFERROR(SUM($F$7:$F14)/Listings!$B$26,"")</f>
        <v/>
      </c>
    </row>
    <row r="15">
      <c r="A15" s="20" t="n">
        <v>9</v>
      </c>
      <c r="B15" s="24">
        <f>IFERROR(INDEX(Listings!$A$8:$A$22,MATCH(LARGE(Listings!$N$8:$N$22,9),Listings!$N$8:$N$22,0)),"")</f>
        <v/>
      </c>
      <c r="C15" s="25">
        <f>IFERROR(INDEX(Listings!$H$8:$H$22,MATCH(LARGE(Listings!$N$8:$N$22,9),Listings!$N$8:$N$22,0)),"")</f>
        <v/>
      </c>
      <c r="D15" s="18">
        <f>IFERROR(INDEX(Listings!$K$8:$K$22,MATCH(LARGE(Listings!$N$8:$N$22,9),Listings!$N$8:$N$22,0)),"")</f>
        <v/>
      </c>
      <c r="E15" s="19">
        <f>IFERROR(INDEX(Listings!$L$8:$L$22,MATCH(LARGE(Listings!$N$8:$N$22,9),Listings!$N$8:$N$22,0)),"")</f>
        <v/>
      </c>
      <c r="F15" s="18">
        <f>IFERROR(INDEX(Listings!$M$8:$M$22,MATCH(LARGE(Listings!$N$8:$N$22,9),Listings!$N$8:$N$22,0)),"")</f>
        <v/>
      </c>
      <c r="G15" s="19">
        <f>IFERROR(SUM($F$7:$F15)/Listings!$B$26,"")</f>
        <v/>
      </c>
    </row>
    <row r="16">
      <c r="A16" s="20" t="n">
        <v>10</v>
      </c>
      <c r="B16" s="24">
        <f>IFERROR(INDEX(Listings!$A$8:$A$22,MATCH(LARGE(Listings!$N$8:$N$22,10),Listings!$N$8:$N$22,0)),"")</f>
        <v/>
      </c>
      <c r="C16" s="25">
        <f>IFERROR(INDEX(Listings!$H$8:$H$22,MATCH(LARGE(Listings!$N$8:$N$22,10),Listings!$N$8:$N$22,0)),"")</f>
        <v/>
      </c>
      <c r="D16" s="18">
        <f>IFERROR(INDEX(Listings!$K$8:$K$22,MATCH(LARGE(Listings!$N$8:$N$22,10),Listings!$N$8:$N$22,0)),"")</f>
        <v/>
      </c>
      <c r="E16" s="19">
        <f>IFERROR(INDEX(Listings!$L$8:$L$22,MATCH(LARGE(Listings!$N$8:$N$22,10),Listings!$N$8:$N$22,0)),"")</f>
        <v/>
      </c>
      <c r="F16" s="18">
        <f>IFERROR(INDEX(Listings!$M$8:$M$22,MATCH(LARGE(Listings!$N$8:$N$22,10),Listings!$N$8:$N$22,0)),"")</f>
        <v/>
      </c>
      <c r="G16" s="19">
        <f>IFERROR(SUM($F$7:$F16)/Listings!$B$26,"")</f>
        <v/>
      </c>
    </row>
    <row r="17">
      <c r="A17" s="20" t="n">
        <v>11</v>
      </c>
      <c r="B17" s="24">
        <f>IFERROR(INDEX(Listings!$A$8:$A$22,MATCH(LARGE(Listings!$N$8:$N$22,11),Listings!$N$8:$N$22,0)),"")</f>
        <v/>
      </c>
      <c r="C17" s="25">
        <f>IFERROR(INDEX(Listings!$H$8:$H$22,MATCH(LARGE(Listings!$N$8:$N$22,11),Listings!$N$8:$N$22,0)),"")</f>
        <v/>
      </c>
      <c r="D17" s="18">
        <f>IFERROR(INDEX(Listings!$K$8:$K$22,MATCH(LARGE(Listings!$N$8:$N$22,11),Listings!$N$8:$N$22,0)),"")</f>
        <v/>
      </c>
      <c r="E17" s="19">
        <f>IFERROR(INDEX(Listings!$L$8:$L$22,MATCH(LARGE(Listings!$N$8:$N$22,11),Listings!$N$8:$N$22,0)),"")</f>
        <v/>
      </c>
      <c r="F17" s="18">
        <f>IFERROR(INDEX(Listings!$M$8:$M$22,MATCH(LARGE(Listings!$N$8:$N$22,11),Listings!$N$8:$N$22,0)),"")</f>
        <v/>
      </c>
      <c r="G17" s="19">
        <f>IFERROR(SUM($F$7:$F17)/Listings!$B$26,"")</f>
        <v/>
      </c>
    </row>
    <row r="18">
      <c r="A18" s="20" t="n">
        <v>12</v>
      </c>
      <c r="B18" s="24">
        <f>IFERROR(INDEX(Listings!$A$8:$A$22,MATCH(LARGE(Listings!$N$8:$N$22,12),Listings!$N$8:$N$22,0)),"")</f>
        <v/>
      </c>
      <c r="C18" s="25">
        <f>IFERROR(INDEX(Listings!$H$8:$H$22,MATCH(LARGE(Listings!$N$8:$N$22,12),Listings!$N$8:$N$22,0)),"")</f>
        <v/>
      </c>
      <c r="D18" s="18">
        <f>IFERROR(INDEX(Listings!$K$8:$K$22,MATCH(LARGE(Listings!$N$8:$N$22,12),Listings!$N$8:$N$22,0)),"")</f>
        <v/>
      </c>
      <c r="E18" s="19">
        <f>IFERROR(INDEX(Listings!$L$8:$L$22,MATCH(LARGE(Listings!$N$8:$N$22,12),Listings!$N$8:$N$22,0)),"")</f>
        <v/>
      </c>
      <c r="F18" s="18">
        <f>IFERROR(INDEX(Listings!$M$8:$M$22,MATCH(LARGE(Listings!$N$8:$N$22,12),Listings!$N$8:$N$22,0)),"")</f>
        <v/>
      </c>
      <c r="G18" s="19">
        <f>IFERROR(SUM($F$7:$F18)/Listings!$B$26,"")</f>
        <v/>
      </c>
    </row>
    <row r="19">
      <c r="A19" s="20" t="n">
        <v>13</v>
      </c>
      <c r="B19" s="24">
        <f>IFERROR(INDEX(Listings!$A$8:$A$22,MATCH(LARGE(Listings!$N$8:$N$22,13),Listings!$N$8:$N$22,0)),"")</f>
        <v/>
      </c>
      <c r="C19" s="25">
        <f>IFERROR(INDEX(Listings!$H$8:$H$22,MATCH(LARGE(Listings!$N$8:$N$22,13),Listings!$N$8:$N$22,0)),"")</f>
        <v/>
      </c>
      <c r="D19" s="18">
        <f>IFERROR(INDEX(Listings!$K$8:$K$22,MATCH(LARGE(Listings!$N$8:$N$22,13),Listings!$N$8:$N$22,0)),"")</f>
        <v/>
      </c>
      <c r="E19" s="19">
        <f>IFERROR(INDEX(Listings!$L$8:$L$22,MATCH(LARGE(Listings!$N$8:$N$22,13),Listings!$N$8:$N$22,0)),"")</f>
        <v/>
      </c>
      <c r="F19" s="18">
        <f>IFERROR(INDEX(Listings!$M$8:$M$22,MATCH(LARGE(Listings!$N$8:$N$22,13),Listings!$N$8:$N$22,0)),"")</f>
        <v/>
      </c>
      <c r="G19" s="19">
        <f>IFERROR(SUM($F$7:$F19)/Listings!$B$26,"")</f>
        <v/>
      </c>
    </row>
    <row r="20">
      <c r="A20" s="20" t="n">
        <v>14</v>
      </c>
      <c r="B20" s="24">
        <f>IFERROR(INDEX(Listings!$A$8:$A$22,MATCH(LARGE(Listings!$N$8:$N$22,14),Listings!$N$8:$N$22,0)),"")</f>
        <v/>
      </c>
      <c r="C20" s="25">
        <f>IFERROR(INDEX(Listings!$H$8:$H$22,MATCH(LARGE(Listings!$N$8:$N$22,14),Listings!$N$8:$N$22,0)),"")</f>
        <v/>
      </c>
      <c r="D20" s="18">
        <f>IFERROR(INDEX(Listings!$K$8:$K$22,MATCH(LARGE(Listings!$N$8:$N$22,14),Listings!$N$8:$N$22,0)),"")</f>
        <v/>
      </c>
      <c r="E20" s="19">
        <f>IFERROR(INDEX(Listings!$L$8:$L$22,MATCH(LARGE(Listings!$N$8:$N$22,14),Listings!$N$8:$N$22,0)),"")</f>
        <v/>
      </c>
      <c r="F20" s="18">
        <f>IFERROR(INDEX(Listings!$M$8:$M$22,MATCH(LARGE(Listings!$N$8:$N$22,14),Listings!$N$8:$N$22,0)),"")</f>
        <v/>
      </c>
      <c r="G20" s="19">
        <f>IFERROR(SUM($F$7:$F20)/Listings!$B$26,"")</f>
        <v/>
      </c>
    </row>
    <row r="21">
      <c r="A21" s="20" t="n">
        <v>15</v>
      </c>
      <c r="B21" s="24">
        <f>IFERROR(INDEX(Listings!$A$8:$A$22,MATCH(LARGE(Listings!$N$8:$N$22,15),Listings!$N$8:$N$22,0)),"")</f>
        <v/>
      </c>
      <c r="C21" s="25">
        <f>IFERROR(INDEX(Listings!$H$8:$H$22,MATCH(LARGE(Listings!$N$8:$N$22,15),Listings!$N$8:$N$22,0)),"")</f>
        <v/>
      </c>
      <c r="D21" s="18">
        <f>IFERROR(INDEX(Listings!$K$8:$K$22,MATCH(LARGE(Listings!$N$8:$N$22,15),Listings!$N$8:$N$22,0)),"")</f>
        <v/>
      </c>
      <c r="E21" s="19">
        <f>IFERROR(INDEX(Listings!$L$8:$L$22,MATCH(LARGE(Listings!$N$8:$N$22,15),Listings!$N$8:$N$22,0)),"")</f>
        <v/>
      </c>
      <c r="F21" s="18">
        <f>IFERROR(INDEX(Listings!$M$8:$M$22,MATCH(LARGE(Listings!$N$8:$N$22,15),Listings!$N$8:$N$22,0)),"")</f>
        <v/>
      </c>
      <c r="G21" s="19">
        <f>IFERROR(SUM($F$7:$F21)/Listings!$B$26,"")</f>
        <v/>
      </c>
    </row>
    <row r="23">
      <c r="A23" s="8" t="inlineStr">
        <is>
          <t>Listings carrying the top 80%</t>
        </is>
      </c>
      <c r="B23" s="20">
        <f>IFERROR(COUNTIF($G$7:$G$21,"&lt;0.8")+1,"")</f>
        <v/>
      </c>
      <c r="C23" s="10" t="inlineStr">
        <is>
          <t>How few of them the shop actually rests on.</t>
        </is>
      </c>
    </row>
    <row r="24">
      <c r="A24" s="8" t="inlineStr">
        <is>
          <t>Listings contributing under £10 a month</t>
        </is>
      </c>
      <c r="B24" s="20">
        <f>COUNTIF($F$7:$F$21,"&lt;10")</f>
        <v/>
      </c>
      <c r="C24" s="10" t="inlineStr">
        <is>
          <t>Each still costs you photographs, listing time and the 20p renewal.</t>
        </is>
      </c>
    </row>
    <row r="25">
      <c r="A25" s="8" t="inlineStr">
        <is>
          <t>What dropping the loss-makers would add back</t>
        </is>
      </c>
      <c r="B25" s="23">
        <f>-SUMIF($F$7:$F$21,"&lt;0")</f>
        <v/>
      </c>
      <c r="C25" s="10" t="inlineStr">
        <is>
          <t>Nil if nothing is losing money.</t>
        </is>
      </c>
    </row>
    <row r="27">
      <c r="A27" s="12" t="inlineStr">
        <is>
          <t>The order here is rarely the one you would guess from the prices, and almost never the order of the margin column.</t>
        </is>
      </c>
    </row>
  </sheetData>
  <mergeCells count="1">
    <mergeCell ref="A3:G3"/>
  </mergeCells>
  <conditionalFormatting sqref="F7:F21">
    <cfRule type="cellIs" priority="1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2026-08-10T09:52:13Z</dcterms:created>
  <dcterms:modified xmlns:dcterms="http://purl.org/dc/terms/" xmlns:xsi="http://www.w3.org/2001/XMLSchema-instance" xsi:type="dcterms:W3CDTF">2026-08-10T09:52:13Z</dcterms:modified>
</cp:coreProperties>
</file>