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Listings" sheetId="2" state="visible" r:id="rId2"/>
    <sheet xmlns:r="http://schemas.openxmlformats.org/officeDocument/2006/relationships" name="Rates" sheetId="3" state="visible" r:id="rId3"/>
    <sheet xmlns:r="http://schemas.openxmlformats.org/officeDocument/2006/relationships" name="Ranked" sheetId="4" state="visible" r:id="rId4"/>
  </sheets>
  <definedNames/>
  <calcPr calcId="124519" fullCalcOnLoad="1"/>
</workbook>
</file>

<file path=xl/styles.xml><?xml version="1.0" encoding="utf-8"?>
<styleSheet xmlns="http://schemas.openxmlformats.org/spreadsheetml/2006/main">
  <numFmts count="2">
    <numFmt numFmtId="164" formatCode="0.0%"/>
    <numFmt numFmtId="165" formatCode="£#,##0.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i val="1"/>
      <color rgb="006B7280"/>
      <sz val="9"/>
    </font>
    <font>
      <name val="Calibri"/>
      <b val="1"/>
      <color rgb="001F2A37"/>
      <sz val="20"/>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6">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applyAlignment="1" pivotButton="0" quotePrefix="0" xfId="0">
      <alignment vertical="center" wrapText="1"/>
    </xf>
    <xf numFmtId="0" fontId="7" fillId="3" borderId="1" pivotButton="0" quotePrefix="0" xfId="0"/>
    <xf numFmtId="165" fontId="7" fillId="3" borderId="1" pivotButton="0" quotePrefix="0" xfId="0"/>
    <xf numFmtId="164" fontId="7" fillId="3" borderId="1" pivotButton="0" quotePrefix="0" xfId="0"/>
    <xf numFmtId="3" fontId="7" fillId="3" borderId="1" pivotButton="0" quotePrefix="0" xfId="0"/>
    <xf numFmtId="165" fontId="7" fillId="4" borderId="1" pivotButton="0" quotePrefix="0" xfId="0"/>
    <xf numFmtId="164" fontId="7" fillId="4" borderId="1" pivotButton="0" quotePrefix="0" xfId="0"/>
    <xf numFmtId="0" fontId="7" fillId="0" borderId="0" pivotButton="0" quotePrefix="0" xfId="0"/>
    <xf numFmtId="3" fontId="8" fillId="4" borderId="1" pivotButton="0" quotePrefix="0" xfId="0"/>
    <xf numFmtId="0" fontId="8" fillId="0" borderId="0" pivotButton="0" quotePrefix="0" xfId="0"/>
    <xf numFmtId="165" fontId="10" fillId="4" borderId="1" pivotButton="0" quotePrefix="0" xfId="0"/>
    <xf numFmtId="165" fontId="8" fillId="4" borderId="1" pivotButton="0" quotePrefix="0" xfId="0"/>
    <xf numFmtId="0" fontId="6" fillId="2" borderId="0" pivotButton="0" quotePrefix="0" xfId="0"/>
    <xf numFmtId="0" fontId="0" fillId="2" borderId="0" pivotButton="0" quotePrefix="0" xfId="0"/>
    <xf numFmtId="164" fontId="8" fillId="3" borderId="1" pivotButton="0" quotePrefix="0" xfId="0"/>
    <xf numFmtId="0" fontId="3" fillId="0" borderId="0" applyAlignment="1" pivotButton="0" quotePrefix="0" xfId="0">
      <alignment vertical="center" wrapText="1"/>
    </xf>
    <xf numFmtId="165" fontId="8" fillId="3" borderId="1" pivotButton="0" quotePrefix="0" xfId="0"/>
    <xf numFmtId="0" fontId="9" fillId="0" borderId="0" pivotButton="0" quotePrefix="0" xfId="0"/>
    <xf numFmtId="0" fontId="7" fillId="4" borderId="1" pivotButton="0" quotePrefix="0" xfId="0"/>
    <xf numFmtId="3" fontId="7" fillId="4" borderId="1" pivotButton="0" quotePrefix="0" xfId="0"/>
  </cellXfs>
  <cellStyles count="1">
    <cellStyle name="Normal" xfId="0" builtinId="0" hidden="0"/>
  </cellStyles>
  <dxfs count="1">
    <dxf>
      <fill>
        <patternFill patternType="solid">
          <fgColor rgb="00FAE9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1"/>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Listing Margin Tracker</t>
        </is>
      </c>
    </row>
    <row r="3">
      <c r="A3" s="3" t="inlineStr">
        <is>
          <t>Contribution per listing after fees, postage and promotion, and the ranking that follows from it.</t>
        </is>
      </c>
    </row>
    <row r="5">
      <c r="B5" s="4" t="inlineStr">
        <is>
          <t>Contribution, not margin</t>
        </is>
      </c>
    </row>
    <row r="6" ht="60" customHeight="1">
      <c r="B6" s="5" t="inlineStr">
        <is>
          <t>Contribution is what a listing leaves after everything that varies with the sale: eBay's fees, what you paid for the item, the postage, the packaging and the promotion. It is what pays your rent, your accountant and yourself. A listing with a healthy percentage and two sales a month contributes less than a dull one selling sixty.</t>
        </is>
      </c>
    </row>
    <row r="8">
      <c r="B8" s="4" t="inlineStr">
        <is>
          <t>Why the ranking is by pounds</t>
        </is>
      </c>
    </row>
    <row r="9" ht="45" customHeight="1">
      <c r="B9" s="5" t="inlineStr">
        <is>
          <t>Sorting by margin percentage flatters low-volume stock and hides where the money actually comes from. The Ranked sheet orders by monthly contribution in pounds, which is usually a different order and always the more useful one.</t>
        </is>
      </c>
    </row>
    <row r="11">
      <c r="B11" s="4" t="inlineStr">
        <is>
          <t>Fees are net of the VAT reclaim</t>
        </is>
      </c>
    </row>
    <row r="12" ht="45" customHeight="1">
      <c r="B12" s="5" t="inlineStr">
        <is>
          <t>eBay invoices its fees with VAT. If you are registered you reclaim it, so the cost in your margin is the invoiced fee divided by 1.20. Set the VAT rate to 0 if you are not registered and every figure here changes, which is the point.</t>
        </is>
      </c>
    </row>
    <row r="14">
      <c r="B14" s="4" t="inlineStr">
        <is>
          <t>Promotion is charged per listing</t>
        </is>
      </c>
    </row>
    <row r="15" ht="30" customHeight="1">
      <c r="B15" s="5" t="inlineStr">
        <is>
          <t>Each row carries its own ad rate, because that is how eBay charges. A listing promoted at 10 per cent and one promoted at nothing are different businesses and should not share an average.</t>
        </is>
      </c>
    </row>
    <row r="17">
      <c r="B17" s="4" t="inlineStr">
        <is>
          <t>What to do with the answer</t>
        </is>
      </c>
    </row>
    <row r="18" ht="45" customHeight="1">
      <c r="B18" s="5" t="inlineStr">
        <is>
          <t>The bottom of the ranked list is the interesting end. A listing contributing under a pound a month is not a product, it is a hobby with photographs, and the time it takes is the real cost rather than the fees.</t>
        </is>
      </c>
    </row>
    <row r="20">
      <c r="B20" s="4" t="inlineStr">
        <is>
          <t>General information</t>
        </is>
      </c>
    </row>
    <row r="21" ht="30" customHeight="1">
      <c r="B21"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27"/>
  <sheetViews>
    <sheetView showGridLines="0" workbookViewId="0">
      <pane xSplit="1" ySplit="7" topLeftCell="B8" activePane="bottomRight" state="frozen"/>
      <selection pane="topRight"/>
      <selection pane="bottomLeft"/>
      <selection pane="bottomRight" activeCell="A1" sqref="A1"/>
    </sheetView>
  </sheetViews>
  <sheetFormatPr baseColWidth="8" defaultRowHeight="15"/>
  <cols>
    <col width="22" customWidth="1" min="1" max="1"/>
    <col width="10" customWidth="1" min="2" max="2"/>
    <col width="12" customWidth="1" min="3" max="3"/>
    <col width="10" customWidth="1" min="4" max="4"/>
    <col width="11" customWidth="1" min="5" max="5"/>
    <col width="10" customWidth="1" min="6" max="6"/>
    <col width="9" customWidth="1" min="7" max="7"/>
    <col width="11" customWidth="1" min="8" max="8"/>
    <col width="12" customWidth="1" min="9" max="9"/>
    <col width="11" customWidth="1" min="10" max="10"/>
    <col width="13" customWidth="1" min="11" max="11"/>
    <col width="9" customWidth="1" min="12" max="12"/>
    <col width="12" customWidth="1" min="13" max="13"/>
    <col hidden="1" width="13" customWidth="1" min="14" max="14"/>
  </cols>
  <sheetData>
    <row r="1">
      <c r="A1" s="1" t="inlineStr">
        <is>
          <t>ZAZEN TAX</t>
        </is>
      </c>
    </row>
    <row r="2">
      <c r="A2" s="2" t="inlineStr">
        <is>
          <t>One row per listing</t>
        </is>
      </c>
    </row>
    <row r="5">
      <c r="A5" s="3" t="inlineStr">
        <is>
          <t>Yellow is yours. The fee rates live on the Rates sheet so there is one place to change them.</t>
        </is>
      </c>
    </row>
    <row r="7" ht="28" customHeight="1">
      <c r="A7" s="6" t="inlineStr">
        <is>
          <t>Listing</t>
        </is>
      </c>
      <c r="B7" s="6" t="inlineStr">
        <is>
          <t>Price</t>
        </is>
      </c>
      <c r="C7" s="6" t="inlineStr">
        <is>
          <t>Postage charged</t>
        </is>
      </c>
      <c r="D7" s="6" t="inlineStr">
        <is>
          <t>Item cost</t>
        </is>
      </c>
      <c r="E7" s="6" t="inlineStr">
        <is>
          <t>Postage paid</t>
        </is>
      </c>
      <c r="F7" s="6" t="inlineStr">
        <is>
          <t>Packaging</t>
        </is>
      </c>
      <c r="G7" s="6" t="inlineStr">
        <is>
          <t>Ad rate</t>
        </is>
      </c>
      <c r="H7" s="6" t="inlineStr">
        <is>
          <t>Units a month</t>
        </is>
      </c>
      <c r="I7" s="6" t="inlineStr">
        <is>
          <t>eBay fees net</t>
        </is>
      </c>
      <c r="J7" s="6" t="inlineStr">
        <is>
          <t>Ad cost net</t>
        </is>
      </c>
      <c r="K7" s="6" t="inlineStr">
        <is>
          <t>Contribution a unit</t>
        </is>
      </c>
      <c r="L7" s="6" t="inlineStr">
        <is>
          <t>Margin</t>
        </is>
      </c>
      <c r="M7" s="6" t="inlineStr">
        <is>
          <t>A month</t>
        </is>
      </c>
    </row>
    <row r="8">
      <c r="A8" s="7" t="inlineStr">
        <is>
          <t>Vintage denim jacket</t>
        </is>
      </c>
      <c r="B8" s="8" t="n">
        <v>45</v>
      </c>
      <c r="C8" s="8" t="n">
        <v>4.95</v>
      </c>
      <c r="D8" s="8" t="n">
        <v>12</v>
      </c>
      <c r="E8" s="8" t="n">
        <v>3.95</v>
      </c>
      <c r="F8" s="8" t="n">
        <v>0.45</v>
      </c>
      <c r="G8" s="9" t="n">
        <v>0.06</v>
      </c>
      <c r="H8" s="10" t="n">
        <v>34</v>
      </c>
      <c r="I8" s="11">
        <f>IF($B8="","",IFERROR((($B8+$C8)*Rates!$B$6+Rates!$B$7+($B8+$C8)*Rates!$B$8)/(1+Rates!$B$9),0))</f>
        <v/>
      </c>
      <c r="J8" s="11">
        <f>IF($B8="","",IFERROR(($B8+$C8)*$G8/(1+Rates!$B$9),0))</f>
        <v/>
      </c>
      <c r="K8" s="11">
        <f>IF($B8="","",(IFERROR(($B8+$C8)/(1+Rates!$B$9),0))-(IFERROR((($B8+$C8)*Rates!$B$6+Rates!$B$7+($B8+$C8)*Rates!$B$8)/(1+Rates!$B$9),0))-(IFERROR(($B8+$C8)*$G8/(1+Rates!$B$9),0))-$D8-$E8-(IFERROR($F8/(1+Rates!$B$9),0)))</f>
        <v/>
      </c>
      <c r="L8" s="12">
        <f>IF($B8="","",IFERROR(((IFERROR(($B8+$C8)/(1+Rates!$B$9),0))-(IFERROR((($B8+$C8)*Rates!$B$6+Rates!$B$7+($B8+$C8)*Rates!$B$8)/(1+Rates!$B$9),0))-(IFERROR(($B8+$C8)*$G8/(1+Rates!$B$9),0))-$D8-$E8-(IFERROR($F8/(1+Rates!$B$9),0)))/($B8+$C8),""))</f>
        <v/>
      </c>
      <c r="M8" s="11">
        <f>IF($B8="","",((IFERROR(($B8+$C8)/(1+Rates!$B$9),0))-(IFERROR((($B8+$C8)*Rates!$B$6+Rates!$B$7+($B8+$C8)*Rates!$B$8)/(1+Rates!$B$9),0))-(IFERROR(($B8+$C8)*$G8/(1+Rates!$B$9),0))-$D8-$E8-(IFERROR($F8/(1+Rates!$B$9),0)))*$H8)</f>
        <v/>
      </c>
      <c r="N8" s="11">
        <f>IF($B8="","",$M8+ROW()/1000000)</f>
        <v/>
      </c>
    </row>
    <row r="9">
      <c r="A9" s="7" t="inlineStr">
        <is>
          <t>Retro camera</t>
        </is>
      </c>
      <c r="B9" s="8" t="n">
        <v>89</v>
      </c>
      <c r="C9" s="8" t="n">
        <v>5.95</v>
      </c>
      <c r="D9" s="8" t="n">
        <v>34</v>
      </c>
      <c r="E9" s="8" t="n">
        <v>4.8</v>
      </c>
      <c r="F9" s="8" t="n">
        <v>0.45</v>
      </c>
      <c r="G9" s="9" t="n">
        <v>0.04</v>
      </c>
      <c r="H9" s="10" t="n">
        <v>12</v>
      </c>
      <c r="I9" s="11">
        <f>IF($B9="","",IFERROR((($B9+$C9)*Rates!$B$6+Rates!$B$7+($B9+$C9)*Rates!$B$8)/(1+Rates!$B$9),0))</f>
        <v/>
      </c>
      <c r="J9" s="11">
        <f>IF($B9="","",IFERROR(($B9+$C9)*$G9/(1+Rates!$B$9),0))</f>
        <v/>
      </c>
      <c r="K9" s="11">
        <f>IF($B9="","",(IFERROR(($B9+$C9)/(1+Rates!$B$9),0))-(IFERROR((($B9+$C9)*Rates!$B$6+Rates!$B$7+($B9+$C9)*Rates!$B$8)/(1+Rates!$B$9),0))-(IFERROR(($B9+$C9)*$G9/(1+Rates!$B$9),0))-$D9-$E9-(IFERROR($F9/(1+Rates!$B$9),0)))</f>
        <v/>
      </c>
      <c r="L9" s="12">
        <f>IF($B9="","",IFERROR(((IFERROR(($B9+$C9)/(1+Rates!$B$9),0))-(IFERROR((($B9+$C9)*Rates!$B$6+Rates!$B$7+($B9+$C9)*Rates!$B$8)/(1+Rates!$B$9),0))-(IFERROR(($B9+$C9)*$G9/(1+Rates!$B$9),0))-$D9-$E9-(IFERROR($F9/(1+Rates!$B$9),0)))/($B9+$C9),""))</f>
        <v/>
      </c>
      <c r="M9" s="11">
        <f>IF($B9="","",((IFERROR(($B9+$C9)/(1+Rates!$B$9),0))-(IFERROR((($B9+$C9)*Rates!$B$6+Rates!$B$7+($B9+$C9)*Rates!$B$8)/(1+Rates!$B$9),0))-(IFERROR(($B9+$C9)*$G9/(1+Rates!$B$9),0))-$D9-$E9-(IFERROR($F9/(1+Rates!$B$9),0)))*$H9)</f>
        <v/>
      </c>
      <c r="N9" s="11">
        <f>IF($B9="","",$M9+ROW()/1000000)</f>
        <v/>
      </c>
    </row>
    <row r="10">
      <c r="A10" s="7" t="inlineStr">
        <is>
          <t>Boxed Lego set</t>
        </is>
      </c>
      <c r="B10" s="8" t="n">
        <v>128</v>
      </c>
      <c r="C10" s="8" t="n">
        <v>6.95</v>
      </c>
      <c r="D10" s="8" t="n">
        <v>55</v>
      </c>
      <c r="E10" s="8" t="n">
        <v>5.6</v>
      </c>
      <c r="F10" s="8" t="n">
        <v>0.45</v>
      </c>
      <c r="G10" s="9" t="n">
        <v>0.05</v>
      </c>
      <c r="H10" s="10" t="n">
        <v>8</v>
      </c>
      <c r="I10" s="11">
        <f>IF($B10="","",IFERROR((($B10+$C10)*Rates!$B$6+Rates!$B$7+($B10+$C10)*Rates!$B$8)/(1+Rates!$B$9),0))</f>
        <v/>
      </c>
      <c r="J10" s="11">
        <f>IF($B10="","",IFERROR(($B10+$C10)*$G10/(1+Rates!$B$9),0))</f>
        <v/>
      </c>
      <c r="K10" s="11">
        <f>IF($B10="","",(IFERROR(($B10+$C10)/(1+Rates!$B$9),0))-(IFERROR((($B10+$C10)*Rates!$B$6+Rates!$B$7+($B10+$C10)*Rates!$B$8)/(1+Rates!$B$9),0))-(IFERROR(($B10+$C10)*$G10/(1+Rates!$B$9),0))-$D10-$E10-(IFERROR($F10/(1+Rates!$B$9),0)))</f>
        <v/>
      </c>
      <c r="L10" s="12">
        <f>IF($B10="","",IFERROR(((IFERROR(($B10+$C10)/(1+Rates!$B$9),0))-(IFERROR((($B10+$C10)*Rates!$B$6+Rates!$B$7+($B10+$C10)*Rates!$B$8)/(1+Rates!$B$9),0))-(IFERROR(($B10+$C10)*$G10/(1+Rates!$B$9),0))-$D10-$E10-(IFERROR($F10/(1+Rates!$B$9),0)))/($B10+$C10),""))</f>
        <v/>
      </c>
      <c r="M10" s="11">
        <f>IF($B10="","",((IFERROR(($B10+$C10)/(1+Rates!$B$9),0))-(IFERROR((($B10+$C10)*Rates!$B$6+Rates!$B$7+($B10+$C10)*Rates!$B$8)/(1+Rates!$B$9),0))-(IFERROR(($B10+$C10)*$G10/(1+Rates!$B$9),0))-$D10-$E10-(IFERROR($F10/(1+Rates!$B$9),0)))*$H10)</f>
        <v/>
      </c>
      <c r="N10" s="11">
        <f>IF($B10="","",$M10+ROW()/1000000)</f>
        <v/>
      </c>
    </row>
    <row r="11">
      <c r="A11" s="7" t="inlineStr">
        <is>
          <t>Silver photo frame</t>
        </is>
      </c>
      <c r="B11" s="8" t="n">
        <v>22.5</v>
      </c>
      <c r="C11" s="8" t="n">
        <v>3.45</v>
      </c>
      <c r="D11" s="8" t="n">
        <v>6</v>
      </c>
      <c r="E11" s="8" t="n">
        <v>2.95</v>
      </c>
      <c r="F11" s="8" t="n">
        <v>0.45</v>
      </c>
      <c r="G11" s="9" t="n">
        <v>0.08</v>
      </c>
      <c r="H11" s="10" t="n">
        <v>46</v>
      </c>
      <c r="I11" s="11">
        <f>IF($B11="","",IFERROR((($B11+$C11)*Rates!$B$6+Rates!$B$7+($B11+$C11)*Rates!$B$8)/(1+Rates!$B$9),0))</f>
        <v/>
      </c>
      <c r="J11" s="11">
        <f>IF($B11="","",IFERROR(($B11+$C11)*$G11/(1+Rates!$B$9),0))</f>
        <v/>
      </c>
      <c r="K11" s="11">
        <f>IF($B11="","",(IFERROR(($B11+$C11)/(1+Rates!$B$9),0))-(IFERROR((($B11+$C11)*Rates!$B$6+Rates!$B$7+($B11+$C11)*Rates!$B$8)/(1+Rates!$B$9),0))-(IFERROR(($B11+$C11)*$G11/(1+Rates!$B$9),0))-$D11-$E11-(IFERROR($F11/(1+Rates!$B$9),0)))</f>
        <v/>
      </c>
      <c r="L11" s="12">
        <f>IF($B11="","",IFERROR(((IFERROR(($B11+$C11)/(1+Rates!$B$9),0))-(IFERROR((($B11+$C11)*Rates!$B$6+Rates!$B$7+($B11+$C11)*Rates!$B$8)/(1+Rates!$B$9),0))-(IFERROR(($B11+$C11)*$G11/(1+Rates!$B$9),0))-$D11-$E11-(IFERROR($F11/(1+Rates!$B$9),0)))/($B11+$C11),""))</f>
        <v/>
      </c>
      <c r="M11" s="11">
        <f>IF($B11="","",((IFERROR(($B11+$C11)/(1+Rates!$B$9),0))-(IFERROR((($B11+$C11)*Rates!$B$6+Rates!$B$7+($B11+$C11)*Rates!$B$8)/(1+Rates!$B$9),0))-(IFERROR(($B11+$C11)*$G11/(1+Rates!$B$9),0))-$D11-$E11-(IFERROR($F11/(1+Rates!$B$9),0)))*$H11)</f>
        <v/>
      </c>
      <c r="N11" s="11">
        <f>IF($B11="","",$M11+ROW()/1000000)</f>
        <v/>
      </c>
    </row>
    <row r="12">
      <c r="A12" s="7" t="inlineStr">
        <is>
          <t>Wool overcoat</t>
        </is>
      </c>
      <c r="B12" s="8" t="n">
        <v>68</v>
      </c>
      <c r="C12" s="8" t="n">
        <v>5.95</v>
      </c>
      <c r="D12" s="8" t="n">
        <v>22</v>
      </c>
      <c r="E12" s="8" t="n">
        <v>4.8</v>
      </c>
      <c r="F12" s="8" t="n">
        <v>0.45</v>
      </c>
      <c r="G12" s="9" t="n">
        <v>0.05</v>
      </c>
      <c r="H12" s="10" t="n">
        <v>15</v>
      </c>
      <c r="I12" s="11">
        <f>IF($B12="","",IFERROR((($B12+$C12)*Rates!$B$6+Rates!$B$7+($B12+$C12)*Rates!$B$8)/(1+Rates!$B$9),0))</f>
        <v/>
      </c>
      <c r="J12" s="11">
        <f>IF($B12="","",IFERROR(($B12+$C12)*$G12/(1+Rates!$B$9),0))</f>
        <v/>
      </c>
      <c r="K12" s="11">
        <f>IF($B12="","",(IFERROR(($B12+$C12)/(1+Rates!$B$9),0))-(IFERROR((($B12+$C12)*Rates!$B$6+Rates!$B$7+($B12+$C12)*Rates!$B$8)/(1+Rates!$B$9),0))-(IFERROR(($B12+$C12)*$G12/(1+Rates!$B$9),0))-$D12-$E12-(IFERROR($F12/(1+Rates!$B$9),0)))</f>
        <v/>
      </c>
      <c r="L12" s="12">
        <f>IF($B12="","",IFERROR(((IFERROR(($B12+$C12)/(1+Rates!$B$9),0))-(IFERROR((($B12+$C12)*Rates!$B$6+Rates!$B$7+($B12+$C12)*Rates!$B$8)/(1+Rates!$B$9),0))-(IFERROR(($B12+$C12)*$G12/(1+Rates!$B$9),0))-$D12-$E12-(IFERROR($F12/(1+Rates!$B$9),0)))/($B12+$C12),""))</f>
        <v/>
      </c>
      <c r="M12" s="11">
        <f>IF($B12="","",((IFERROR(($B12+$C12)/(1+Rates!$B$9),0))-(IFERROR((($B12+$C12)*Rates!$B$6+Rates!$B$7+($B12+$C12)*Rates!$B$8)/(1+Rates!$B$9),0))-(IFERROR(($B12+$C12)*$G12/(1+Rates!$B$9),0))-$D12-$E12-(IFERROR($F12/(1+Rates!$B$9),0)))*$H12)</f>
        <v/>
      </c>
      <c r="N12" s="11">
        <f>IF($B12="","",$M12+ROW()/1000000)</f>
        <v/>
      </c>
    </row>
    <row r="13">
      <c r="A13" s="7" t="inlineStr">
        <is>
          <t>Record, first pressing</t>
        </is>
      </c>
      <c r="B13" s="8" t="n">
        <v>36</v>
      </c>
      <c r="C13" s="8" t="n">
        <v>3.45</v>
      </c>
      <c r="D13" s="8" t="n">
        <v>11</v>
      </c>
      <c r="E13" s="8" t="n">
        <v>2.95</v>
      </c>
      <c r="F13" s="8" t="n">
        <v>0.45</v>
      </c>
      <c r="G13" s="9" t="n">
        <v>0.09</v>
      </c>
      <c r="H13" s="10" t="n">
        <v>22</v>
      </c>
      <c r="I13" s="11">
        <f>IF($B13="","",IFERROR((($B13+$C13)*Rates!$B$6+Rates!$B$7+($B13+$C13)*Rates!$B$8)/(1+Rates!$B$9),0))</f>
        <v/>
      </c>
      <c r="J13" s="11">
        <f>IF($B13="","",IFERROR(($B13+$C13)*$G13/(1+Rates!$B$9),0))</f>
        <v/>
      </c>
      <c r="K13" s="11">
        <f>IF($B13="","",(IFERROR(($B13+$C13)/(1+Rates!$B$9),0))-(IFERROR((($B13+$C13)*Rates!$B$6+Rates!$B$7+($B13+$C13)*Rates!$B$8)/(1+Rates!$B$9),0))-(IFERROR(($B13+$C13)*$G13/(1+Rates!$B$9),0))-$D13-$E13-(IFERROR($F13/(1+Rates!$B$9),0)))</f>
        <v/>
      </c>
      <c r="L13" s="12">
        <f>IF($B13="","",IFERROR(((IFERROR(($B13+$C13)/(1+Rates!$B$9),0))-(IFERROR((($B13+$C13)*Rates!$B$6+Rates!$B$7+($B13+$C13)*Rates!$B$8)/(1+Rates!$B$9),0))-(IFERROR(($B13+$C13)*$G13/(1+Rates!$B$9),0))-$D13-$E13-(IFERROR($F13/(1+Rates!$B$9),0)))/($B13+$C13),""))</f>
        <v/>
      </c>
      <c r="M13" s="11">
        <f>IF($B13="","",((IFERROR(($B13+$C13)/(1+Rates!$B$9),0))-(IFERROR((($B13+$C13)*Rates!$B$6+Rates!$B$7+($B13+$C13)*Rates!$B$8)/(1+Rates!$B$9),0))-(IFERROR(($B13+$C13)*$G13/(1+Rates!$B$9),0))-$D13-$E13-(IFERROR($F13/(1+Rates!$B$9),0)))*$H13)</f>
        <v/>
      </c>
      <c r="N13" s="11">
        <f>IF($B13="","",$M13+ROW()/1000000)</f>
        <v/>
      </c>
    </row>
    <row r="14">
      <c r="A14" s="7" t="inlineStr">
        <is>
          <t>Cast iron pan</t>
        </is>
      </c>
      <c r="B14" s="8" t="n">
        <v>28</v>
      </c>
      <c r="C14" s="8" t="n">
        <v>5.45</v>
      </c>
      <c r="D14" s="8" t="n">
        <v>8</v>
      </c>
      <c r="E14" s="8" t="n">
        <v>4.8</v>
      </c>
      <c r="F14" s="8" t="n">
        <v>0.45</v>
      </c>
      <c r="G14" s="9" t="n">
        <v>0.06</v>
      </c>
      <c r="H14" s="10" t="n">
        <v>28</v>
      </c>
      <c r="I14" s="11">
        <f>IF($B14="","",IFERROR((($B14+$C14)*Rates!$B$6+Rates!$B$7+($B14+$C14)*Rates!$B$8)/(1+Rates!$B$9),0))</f>
        <v/>
      </c>
      <c r="J14" s="11">
        <f>IF($B14="","",IFERROR(($B14+$C14)*$G14/(1+Rates!$B$9),0))</f>
        <v/>
      </c>
      <c r="K14" s="11">
        <f>IF($B14="","",(IFERROR(($B14+$C14)/(1+Rates!$B$9),0))-(IFERROR((($B14+$C14)*Rates!$B$6+Rates!$B$7+($B14+$C14)*Rates!$B$8)/(1+Rates!$B$9),0))-(IFERROR(($B14+$C14)*$G14/(1+Rates!$B$9),0))-$D14-$E14-(IFERROR($F14/(1+Rates!$B$9),0)))</f>
        <v/>
      </c>
      <c r="L14" s="12">
        <f>IF($B14="","",IFERROR(((IFERROR(($B14+$C14)/(1+Rates!$B$9),0))-(IFERROR((($B14+$C14)*Rates!$B$6+Rates!$B$7+($B14+$C14)*Rates!$B$8)/(1+Rates!$B$9),0))-(IFERROR(($B14+$C14)*$G14/(1+Rates!$B$9),0))-$D14-$E14-(IFERROR($F14/(1+Rates!$B$9),0)))/($B14+$C14),""))</f>
        <v/>
      </c>
      <c r="M14" s="11">
        <f>IF($B14="","",((IFERROR(($B14+$C14)/(1+Rates!$B$9),0))-(IFERROR((($B14+$C14)*Rates!$B$6+Rates!$B$7+($B14+$C14)*Rates!$B$8)/(1+Rates!$B$9),0))-(IFERROR(($B14+$C14)*$G14/(1+Rates!$B$9),0))-$D14-$E14-(IFERROR($F14/(1+Rates!$B$9),0)))*$H14)</f>
        <v/>
      </c>
      <c r="N14" s="11">
        <f>IF($B14="","",$M14+ROW()/1000000)</f>
        <v/>
      </c>
    </row>
    <row r="15">
      <c r="A15" s="7" t="inlineStr">
        <is>
          <t>Designer handbag</t>
        </is>
      </c>
      <c r="B15" s="8" t="n">
        <v>240</v>
      </c>
      <c r="C15" s="8" t="n">
        <v>6.95</v>
      </c>
      <c r="D15" s="8" t="n">
        <v>95</v>
      </c>
      <c r="E15" s="8" t="n">
        <v>5.6</v>
      </c>
      <c r="F15" s="8" t="n">
        <v>0.45</v>
      </c>
      <c r="G15" s="9" t="n">
        <v>0.03</v>
      </c>
      <c r="H15" s="10" t="n">
        <v>3</v>
      </c>
      <c r="I15" s="11">
        <f>IF($B15="","",IFERROR((($B15+$C15)*Rates!$B$6+Rates!$B$7+($B15+$C15)*Rates!$B$8)/(1+Rates!$B$9),0))</f>
        <v/>
      </c>
      <c r="J15" s="11">
        <f>IF($B15="","",IFERROR(($B15+$C15)*$G15/(1+Rates!$B$9),0))</f>
        <v/>
      </c>
      <c r="K15" s="11">
        <f>IF($B15="","",(IFERROR(($B15+$C15)/(1+Rates!$B$9),0))-(IFERROR((($B15+$C15)*Rates!$B$6+Rates!$B$7+($B15+$C15)*Rates!$B$8)/(1+Rates!$B$9),0))-(IFERROR(($B15+$C15)*$G15/(1+Rates!$B$9),0))-$D15-$E15-(IFERROR($F15/(1+Rates!$B$9),0)))</f>
        <v/>
      </c>
      <c r="L15" s="12">
        <f>IF($B15="","",IFERROR(((IFERROR(($B15+$C15)/(1+Rates!$B$9),0))-(IFERROR((($B15+$C15)*Rates!$B$6+Rates!$B$7+($B15+$C15)*Rates!$B$8)/(1+Rates!$B$9),0))-(IFERROR(($B15+$C15)*$G15/(1+Rates!$B$9),0))-$D15-$E15-(IFERROR($F15/(1+Rates!$B$9),0)))/($B15+$C15),""))</f>
        <v/>
      </c>
      <c r="M15" s="11">
        <f>IF($B15="","",((IFERROR(($B15+$C15)/(1+Rates!$B$9),0))-(IFERROR((($B15+$C15)*Rates!$B$6+Rates!$B$7+($B15+$C15)*Rates!$B$8)/(1+Rates!$B$9),0))-(IFERROR(($B15+$C15)*$G15/(1+Rates!$B$9),0))-$D15-$E15-(IFERROR($F15/(1+Rates!$B$9),0)))*$H15)</f>
        <v/>
      </c>
      <c r="N15" s="11">
        <f>IF($B15="","",$M15+ROW()/1000000)</f>
        <v/>
      </c>
    </row>
    <row r="16">
      <c r="A16" s="7" t="inlineStr">
        <is>
          <t>Board game bundle</t>
        </is>
      </c>
      <c r="B16" s="8" t="n">
        <v>31</v>
      </c>
      <c r="C16" s="8" t="n">
        <v>5.95</v>
      </c>
      <c r="D16" s="8" t="n">
        <v>14</v>
      </c>
      <c r="E16" s="8" t="n">
        <v>4.8</v>
      </c>
      <c r="F16" s="8" t="n">
        <v>0.45</v>
      </c>
      <c r="G16" s="9" t="n">
        <v>0.1</v>
      </c>
      <c r="H16" s="10" t="n">
        <v>26</v>
      </c>
      <c r="I16" s="11">
        <f>IF($B16="","",IFERROR((($B16+$C16)*Rates!$B$6+Rates!$B$7+($B16+$C16)*Rates!$B$8)/(1+Rates!$B$9),0))</f>
        <v/>
      </c>
      <c r="J16" s="11">
        <f>IF($B16="","",IFERROR(($B16+$C16)*$G16/(1+Rates!$B$9),0))</f>
        <v/>
      </c>
      <c r="K16" s="11">
        <f>IF($B16="","",(IFERROR(($B16+$C16)/(1+Rates!$B$9),0))-(IFERROR((($B16+$C16)*Rates!$B$6+Rates!$B$7+($B16+$C16)*Rates!$B$8)/(1+Rates!$B$9),0))-(IFERROR(($B16+$C16)*$G16/(1+Rates!$B$9),0))-$D16-$E16-(IFERROR($F16/(1+Rates!$B$9),0)))</f>
        <v/>
      </c>
      <c r="L16" s="12">
        <f>IF($B16="","",IFERROR(((IFERROR(($B16+$C16)/(1+Rates!$B$9),0))-(IFERROR((($B16+$C16)*Rates!$B$6+Rates!$B$7+($B16+$C16)*Rates!$B$8)/(1+Rates!$B$9),0))-(IFERROR(($B16+$C16)*$G16/(1+Rates!$B$9),0))-$D16-$E16-(IFERROR($F16/(1+Rates!$B$9),0)))/($B16+$C16),""))</f>
        <v/>
      </c>
      <c r="M16" s="11">
        <f>IF($B16="","",((IFERROR(($B16+$C16)/(1+Rates!$B$9),0))-(IFERROR((($B16+$C16)*Rates!$B$6+Rates!$B$7+($B16+$C16)*Rates!$B$8)/(1+Rates!$B$9),0))-(IFERROR(($B16+$C16)*$G16/(1+Rates!$B$9),0))-$D16-$E16-(IFERROR($F16/(1+Rates!$B$9),0)))*$H16)</f>
        <v/>
      </c>
      <c r="N16" s="11">
        <f>IF($B16="","",$M16+ROW()/1000000)</f>
        <v/>
      </c>
    </row>
    <row r="17">
      <c r="A17" s="7" t="inlineStr">
        <is>
          <t>Ceramic vase</t>
        </is>
      </c>
      <c r="B17" s="8" t="n">
        <v>19.99</v>
      </c>
      <c r="C17" s="8" t="n">
        <v>4.45</v>
      </c>
      <c r="D17" s="8" t="n">
        <v>4.5</v>
      </c>
      <c r="E17" s="8" t="n">
        <v>3.95</v>
      </c>
      <c r="F17" s="8" t="n">
        <v>0.45</v>
      </c>
      <c r="G17" s="9" t="n">
        <v>0.08</v>
      </c>
      <c r="H17" s="10" t="n">
        <v>52</v>
      </c>
      <c r="I17" s="11">
        <f>IF($B17="","",IFERROR((($B17+$C17)*Rates!$B$6+Rates!$B$7+($B17+$C17)*Rates!$B$8)/(1+Rates!$B$9),0))</f>
        <v/>
      </c>
      <c r="J17" s="11">
        <f>IF($B17="","",IFERROR(($B17+$C17)*$G17/(1+Rates!$B$9),0))</f>
        <v/>
      </c>
      <c r="K17" s="11">
        <f>IF($B17="","",(IFERROR(($B17+$C17)/(1+Rates!$B$9),0))-(IFERROR((($B17+$C17)*Rates!$B$6+Rates!$B$7+($B17+$C17)*Rates!$B$8)/(1+Rates!$B$9),0))-(IFERROR(($B17+$C17)*$G17/(1+Rates!$B$9),0))-$D17-$E17-(IFERROR($F17/(1+Rates!$B$9),0)))</f>
        <v/>
      </c>
      <c r="L17" s="12">
        <f>IF($B17="","",IFERROR(((IFERROR(($B17+$C17)/(1+Rates!$B$9),0))-(IFERROR((($B17+$C17)*Rates!$B$6+Rates!$B$7+($B17+$C17)*Rates!$B$8)/(1+Rates!$B$9),0))-(IFERROR(($B17+$C17)*$G17/(1+Rates!$B$9),0))-$D17-$E17-(IFERROR($F17/(1+Rates!$B$9),0)))/($B17+$C17),""))</f>
        <v/>
      </c>
      <c r="M17" s="11">
        <f>IF($B17="","",((IFERROR(($B17+$C17)/(1+Rates!$B$9),0))-(IFERROR((($B17+$C17)*Rates!$B$6+Rates!$B$7+($B17+$C17)*Rates!$B$8)/(1+Rates!$B$9),0))-(IFERROR(($B17+$C17)*$G17/(1+Rates!$B$9),0))-$D17-$E17-(IFERROR($F17/(1+Rates!$B$9),0)))*$H17)</f>
        <v/>
      </c>
      <c r="N17" s="11">
        <f>IF($B17="","",$M17+ROW()/1000000)</f>
        <v/>
      </c>
    </row>
    <row r="18">
      <c r="A18" s="7" t="inlineStr">
        <is>
          <t>Leather boots</t>
        </is>
      </c>
      <c r="B18" s="8" t="n">
        <v>54</v>
      </c>
      <c r="C18" s="8" t="n">
        <v>5.45</v>
      </c>
      <c r="D18" s="8" t="n">
        <v>18</v>
      </c>
      <c r="E18" s="8" t="n">
        <v>4.8</v>
      </c>
      <c r="F18" s="8" t="n">
        <v>0.45</v>
      </c>
      <c r="G18" s="9" t="n">
        <v>0.06</v>
      </c>
      <c r="H18" s="10" t="n">
        <v>19</v>
      </c>
      <c r="I18" s="11">
        <f>IF($B18="","",IFERROR((($B18+$C18)*Rates!$B$6+Rates!$B$7+($B18+$C18)*Rates!$B$8)/(1+Rates!$B$9),0))</f>
        <v/>
      </c>
      <c r="J18" s="11">
        <f>IF($B18="","",IFERROR(($B18+$C18)*$G18/(1+Rates!$B$9),0))</f>
        <v/>
      </c>
      <c r="K18" s="11">
        <f>IF($B18="","",(IFERROR(($B18+$C18)/(1+Rates!$B$9),0))-(IFERROR((($B18+$C18)*Rates!$B$6+Rates!$B$7+($B18+$C18)*Rates!$B$8)/(1+Rates!$B$9),0))-(IFERROR(($B18+$C18)*$G18/(1+Rates!$B$9),0))-$D18-$E18-(IFERROR($F18/(1+Rates!$B$9),0)))</f>
        <v/>
      </c>
      <c r="L18" s="12">
        <f>IF($B18="","",IFERROR(((IFERROR(($B18+$C18)/(1+Rates!$B$9),0))-(IFERROR((($B18+$C18)*Rates!$B$6+Rates!$B$7+($B18+$C18)*Rates!$B$8)/(1+Rates!$B$9),0))-(IFERROR(($B18+$C18)*$G18/(1+Rates!$B$9),0))-$D18-$E18-(IFERROR($F18/(1+Rates!$B$9),0)))/($B18+$C18),""))</f>
        <v/>
      </c>
      <c r="M18" s="11">
        <f>IF($B18="","",((IFERROR(($B18+$C18)/(1+Rates!$B$9),0))-(IFERROR((($B18+$C18)*Rates!$B$6+Rates!$B$7+($B18+$C18)*Rates!$B$8)/(1+Rates!$B$9),0))-(IFERROR(($B18+$C18)*$G18/(1+Rates!$B$9),0))-$D18-$E18-(IFERROR($F18/(1+Rates!$B$9),0)))*$H18)</f>
        <v/>
      </c>
      <c r="N18" s="11">
        <f>IF($B18="","",$M18+ROW()/1000000)</f>
        <v/>
      </c>
    </row>
    <row r="19">
      <c r="A19" s="7" t="inlineStr">
        <is>
          <t>Film camera lens</t>
        </is>
      </c>
      <c r="B19" s="8" t="n">
        <v>76</v>
      </c>
      <c r="C19" s="8" t="n">
        <v>3.95</v>
      </c>
      <c r="D19" s="8" t="n">
        <v>28</v>
      </c>
      <c r="E19" s="8" t="n">
        <v>3.2</v>
      </c>
      <c r="F19" s="8" t="n">
        <v>0.45</v>
      </c>
      <c r="G19" s="9" t="n">
        <v>0.04</v>
      </c>
      <c r="H19" s="10" t="n">
        <v>11</v>
      </c>
      <c r="I19" s="11">
        <f>IF($B19="","",IFERROR((($B19+$C19)*Rates!$B$6+Rates!$B$7+($B19+$C19)*Rates!$B$8)/(1+Rates!$B$9),0))</f>
        <v/>
      </c>
      <c r="J19" s="11">
        <f>IF($B19="","",IFERROR(($B19+$C19)*$G19/(1+Rates!$B$9),0))</f>
        <v/>
      </c>
      <c r="K19" s="11">
        <f>IF($B19="","",(IFERROR(($B19+$C19)/(1+Rates!$B$9),0))-(IFERROR((($B19+$C19)*Rates!$B$6+Rates!$B$7+($B19+$C19)*Rates!$B$8)/(1+Rates!$B$9),0))-(IFERROR(($B19+$C19)*$G19/(1+Rates!$B$9),0))-$D19-$E19-(IFERROR($F19/(1+Rates!$B$9),0)))</f>
        <v/>
      </c>
      <c r="L19" s="12">
        <f>IF($B19="","",IFERROR(((IFERROR(($B19+$C19)/(1+Rates!$B$9),0))-(IFERROR((($B19+$C19)*Rates!$B$6+Rates!$B$7+($B19+$C19)*Rates!$B$8)/(1+Rates!$B$9),0))-(IFERROR(($B19+$C19)*$G19/(1+Rates!$B$9),0))-$D19-$E19-(IFERROR($F19/(1+Rates!$B$9),0)))/($B19+$C19),""))</f>
        <v/>
      </c>
      <c r="M19" s="11">
        <f>IF($B19="","",((IFERROR(($B19+$C19)/(1+Rates!$B$9),0))-(IFERROR((($B19+$C19)*Rates!$B$6+Rates!$B$7+($B19+$C19)*Rates!$B$8)/(1+Rates!$B$9),0))-(IFERROR(($B19+$C19)*$G19/(1+Rates!$B$9),0))-$D19-$E19-(IFERROR($F19/(1+Rates!$B$9),0)))*$H19)</f>
        <v/>
      </c>
      <c r="N19" s="11">
        <f>IF($B19="","",$M19+ROW()/1000000)</f>
        <v/>
      </c>
    </row>
    <row r="20">
      <c r="A20" s="7" t="inlineStr">
        <is>
          <t>Enamel sign</t>
        </is>
      </c>
      <c r="B20" s="8" t="n">
        <v>42</v>
      </c>
      <c r="C20" s="8" t="n">
        <v>6.45</v>
      </c>
      <c r="D20" s="8" t="n">
        <v>13</v>
      </c>
      <c r="E20" s="8" t="n">
        <v>5.6</v>
      </c>
      <c r="F20" s="8" t="n">
        <v>0.45</v>
      </c>
      <c r="G20" s="9" t="n">
        <v>0.07000000000000001</v>
      </c>
      <c r="H20" s="10" t="n">
        <v>17</v>
      </c>
      <c r="I20" s="11">
        <f>IF($B20="","",IFERROR((($B20+$C20)*Rates!$B$6+Rates!$B$7+($B20+$C20)*Rates!$B$8)/(1+Rates!$B$9),0))</f>
        <v/>
      </c>
      <c r="J20" s="11">
        <f>IF($B20="","",IFERROR(($B20+$C20)*$G20/(1+Rates!$B$9),0))</f>
        <v/>
      </c>
      <c r="K20" s="11">
        <f>IF($B20="","",(IFERROR(($B20+$C20)/(1+Rates!$B$9),0))-(IFERROR((($B20+$C20)*Rates!$B$6+Rates!$B$7+($B20+$C20)*Rates!$B$8)/(1+Rates!$B$9),0))-(IFERROR(($B20+$C20)*$G20/(1+Rates!$B$9),0))-$D20-$E20-(IFERROR($F20/(1+Rates!$B$9),0)))</f>
        <v/>
      </c>
      <c r="L20" s="12">
        <f>IF($B20="","",IFERROR(((IFERROR(($B20+$C20)/(1+Rates!$B$9),0))-(IFERROR((($B20+$C20)*Rates!$B$6+Rates!$B$7+($B20+$C20)*Rates!$B$8)/(1+Rates!$B$9),0))-(IFERROR(($B20+$C20)*$G20/(1+Rates!$B$9),0))-$D20-$E20-(IFERROR($F20/(1+Rates!$B$9),0)))/($B20+$C20),""))</f>
        <v/>
      </c>
      <c r="M20" s="11">
        <f>IF($B20="","",((IFERROR(($B20+$C20)/(1+Rates!$B$9),0))-(IFERROR((($B20+$C20)*Rates!$B$6+Rates!$B$7+($B20+$C20)*Rates!$B$8)/(1+Rates!$B$9),0))-(IFERROR(($B20+$C20)*$G20/(1+Rates!$B$9),0))-$D20-$E20-(IFERROR($F20/(1+Rates!$B$9),0)))*$H20)</f>
        <v/>
      </c>
      <c r="N20" s="11">
        <f>IF($B20="","",$M20+ROW()/1000000)</f>
        <v/>
      </c>
    </row>
    <row r="21">
      <c r="A21" s="7" t="inlineStr">
        <is>
          <t>Wristwatch, serviced</t>
        </is>
      </c>
      <c r="B21" s="8" t="n">
        <v>185</v>
      </c>
      <c r="C21" s="8" t="n">
        <v>4.45</v>
      </c>
      <c r="D21" s="8" t="n">
        <v>72</v>
      </c>
      <c r="E21" s="8" t="n">
        <v>3.95</v>
      </c>
      <c r="F21" s="8" t="n">
        <v>0.45</v>
      </c>
      <c r="G21" s="9" t="n">
        <v>0.03</v>
      </c>
      <c r="H21" s="10" t="n">
        <v>4</v>
      </c>
      <c r="I21" s="11">
        <f>IF($B21="","",IFERROR((($B21+$C21)*Rates!$B$6+Rates!$B$7+($B21+$C21)*Rates!$B$8)/(1+Rates!$B$9),0))</f>
        <v/>
      </c>
      <c r="J21" s="11">
        <f>IF($B21="","",IFERROR(($B21+$C21)*$G21/(1+Rates!$B$9),0))</f>
        <v/>
      </c>
      <c r="K21" s="11">
        <f>IF($B21="","",(IFERROR(($B21+$C21)/(1+Rates!$B$9),0))-(IFERROR((($B21+$C21)*Rates!$B$6+Rates!$B$7+($B21+$C21)*Rates!$B$8)/(1+Rates!$B$9),0))-(IFERROR(($B21+$C21)*$G21/(1+Rates!$B$9),0))-$D21-$E21-(IFERROR($F21/(1+Rates!$B$9),0)))</f>
        <v/>
      </c>
      <c r="L21" s="12">
        <f>IF($B21="","",IFERROR(((IFERROR(($B21+$C21)/(1+Rates!$B$9),0))-(IFERROR((($B21+$C21)*Rates!$B$6+Rates!$B$7+($B21+$C21)*Rates!$B$8)/(1+Rates!$B$9),0))-(IFERROR(($B21+$C21)*$G21/(1+Rates!$B$9),0))-$D21-$E21-(IFERROR($F21/(1+Rates!$B$9),0)))/($B21+$C21),""))</f>
        <v/>
      </c>
      <c r="M21" s="11">
        <f>IF($B21="","",((IFERROR(($B21+$C21)/(1+Rates!$B$9),0))-(IFERROR((($B21+$C21)*Rates!$B$6+Rates!$B$7+($B21+$C21)*Rates!$B$8)/(1+Rates!$B$9),0))-(IFERROR(($B21+$C21)*$G21/(1+Rates!$B$9),0))-$D21-$E21-(IFERROR($F21/(1+Rates!$B$9),0)))*$H21)</f>
        <v/>
      </c>
      <c r="N21" s="11">
        <f>IF($B21="","",$M21+ROW()/1000000)</f>
        <v/>
      </c>
    </row>
    <row r="22">
      <c r="A22" s="7" t="inlineStr">
        <is>
          <t>Paperback lot</t>
        </is>
      </c>
      <c r="B22" s="8" t="n">
        <v>14.5</v>
      </c>
      <c r="C22" s="8" t="n">
        <v>3.45</v>
      </c>
      <c r="D22" s="8" t="n">
        <v>3</v>
      </c>
      <c r="E22" s="8" t="n">
        <v>2.95</v>
      </c>
      <c r="F22" s="8" t="n">
        <v>0.45</v>
      </c>
      <c r="G22" s="9" t="n">
        <v>0.12</v>
      </c>
      <c r="H22" s="10" t="n">
        <v>61</v>
      </c>
      <c r="I22" s="11">
        <f>IF($B22="","",IFERROR((($B22+$C22)*Rates!$B$6+Rates!$B$7+($B22+$C22)*Rates!$B$8)/(1+Rates!$B$9),0))</f>
        <v/>
      </c>
      <c r="J22" s="11">
        <f>IF($B22="","",IFERROR(($B22+$C22)*$G22/(1+Rates!$B$9),0))</f>
        <v/>
      </c>
      <c r="K22" s="11">
        <f>IF($B22="","",(IFERROR(($B22+$C22)/(1+Rates!$B$9),0))-(IFERROR((($B22+$C22)*Rates!$B$6+Rates!$B$7+($B22+$C22)*Rates!$B$8)/(1+Rates!$B$9),0))-(IFERROR(($B22+$C22)*$G22/(1+Rates!$B$9),0))-$D22-$E22-(IFERROR($F22/(1+Rates!$B$9),0)))</f>
        <v/>
      </c>
      <c r="L22" s="12">
        <f>IF($B22="","",IFERROR(((IFERROR(($B22+$C22)/(1+Rates!$B$9),0))-(IFERROR((($B22+$C22)*Rates!$B$6+Rates!$B$7+($B22+$C22)*Rates!$B$8)/(1+Rates!$B$9),0))-(IFERROR(($B22+$C22)*$G22/(1+Rates!$B$9),0))-$D22-$E22-(IFERROR($F22/(1+Rates!$B$9),0)))/($B22+$C22),""))</f>
        <v/>
      </c>
      <c r="M22" s="11">
        <f>IF($B22="","",((IFERROR(($B22+$C22)/(1+Rates!$B$9),0))-(IFERROR((($B22+$C22)*Rates!$B$6+Rates!$B$7+($B22+$C22)*Rates!$B$8)/(1+Rates!$B$9),0))-(IFERROR(($B22+$C22)*$G22/(1+Rates!$B$9),0))-$D22-$E22-(IFERROR($F22/(1+Rates!$B$9),0)))*$H22)</f>
        <v/>
      </c>
      <c r="N22" s="11">
        <f>IF($B22="","",$M22+ROW()/1000000)</f>
        <v/>
      </c>
    </row>
    <row r="24">
      <c r="A24" s="13" t="inlineStr">
        <is>
          <t>Listings</t>
        </is>
      </c>
      <c r="B24" s="14">
        <f>COUNT($B$8:$B$22)</f>
        <v/>
      </c>
    </row>
    <row r="25">
      <c r="A25" s="13" t="inlineStr">
        <is>
          <t>Units a month</t>
        </is>
      </c>
      <c r="B25" s="14">
        <f>SUM($H$8:$H$22)</f>
        <v/>
      </c>
    </row>
    <row r="26">
      <c r="A26" s="15" t="inlineStr">
        <is>
          <t>Contribution a month</t>
        </is>
      </c>
      <c r="B26" s="16">
        <f>SUM($M$8:$M$22)</f>
        <v/>
      </c>
    </row>
    <row r="27">
      <c r="A27" s="13" t="inlineStr">
        <is>
          <t>Average contribution a unit</t>
        </is>
      </c>
      <c r="B27" s="17">
        <f>IFERROR(SUM($M$8:$M$22)/SUM($H$8:$H$22),"")</f>
        <v/>
      </c>
    </row>
  </sheetData>
  <conditionalFormatting sqref="K8:K22">
    <cfRule type="cellIs" priority="1" operator="lessThan" dxfId="0">
      <formula>0</formula>
    </cfRule>
  </conditionalFormatting>
  <conditionalFormatting sqref="M8:M22">
    <cfRule type="cellIs" priority="2" operator="lessThan" dxfId="0">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showGridLines="0" workbookViewId="0">
      <selection activeCell="A1" sqref="A1"/>
    </sheetView>
  </sheetViews>
  <sheetFormatPr baseColWidth="8" defaultRowHeight="15"/>
  <cols>
    <col width="34" customWidth="1" min="1" max="1"/>
    <col width="14" customWidth="1" min="2" max="2"/>
    <col width="56" customWidth="1" min="3" max="3"/>
  </cols>
  <sheetData>
    <row r="1">
      <c r="A1" s="1" t="inlineStr">
        <is>
          <t>ZAZEN TAX</t>
        </is>
      </c>
    </row>
    <row r="2">
      <c r="A2" s="2" t="inlineStr">
        <is>
          <t>eBay's rates, in one place</t>
        </is>
      </c>
    </row>
    <row r="5" ht="19" customHeight="1">
      <c r="A5" s="18" t="inlineStr">
        <is>
          <t xml:space="preserve">  What eBay charges</t>
        </is>
      </c>
      <c r="B5" s="19" t="n"/>
      <c r="C5" s="19" t="n"/>
    </row>
    <row r="6">
      <c r="A6" s="13" t="inlineStr">
        <is>
          <t>Final value fee</t>
        </is>
      </c>
      <c r="B6" s="20" t="n">
        <v>0.128</v>
      </c>
      <c r="C6" s="21" t="inlineStr">
        <is>
          <t>Category dependent, mostly 9.9% to 14.9%.</t>
        </is>
      </c>
    </row>
    <row r="7">
      <c r="A7" s="13" t="inlineStr">
        <is>
          <t>Per-order fee</t>
        </is>
      </c>
      <c r="B7" s="22" t="n">
        <v>0.4</v>
      </c>
      <c r="C7" s="21" t="inlineStr">
        <is>
          <t>30p up to £10, 40p above it.</t>
        </is>
      </c>
    </row>
    <row r="8">
      <c r="A8" s="13" t="inlineStr">
        <is>
          <t>Regulatory operating fee</t>
        </is>
      </c>
      <c r="B8" s="20" t="n">
        <v>0.0035</v>
      </c>
      <c r="C8" s="21" t="inlineStr"/>
    </row>
    <row r="9">
      <c r="A9" s="13" t="inlineStr">
        <is>
          <t>VAT rate</t>
        </is>
      </c>
      <c r="B9" s="20" t="n">
        <v>0.2</v>
      </c>
      <c r="C9" s="21" t="inlineStr">
        <is>
          <t>20% if registered, 0% if not. Changes every figure in the workbook.</t>
        </is>
      </c>
    </row>
    <row r="11">
      <c r="A11" s="23" t="inlineStr">
        <is>
          <t>Taken from a recent eBay invoice rather than from an article, including this one. eBay changes them.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27"/>
  <sheetViews>
    <sheetView showGridLines="0" workbookViewId="0">
      <selection activeCell="A1" sqref="A1"/>
    </sheetView>
  </sheetViews>
  <sheetFormatPr baseColWidth="8" defaultRowHeight="15"/>
  <cols>
    <col width="7" customWidth="1" min="1" max="1"/>
    <col width="24" customWidth="1" min="2" max="2"/>
    <col width="12" customWidth="1" min="3" max="3"/>
    <col width="14" customWidth="1" min="4" max="4"/>
    <col width="10" customWidth="1" min="5" max="5"/>
    <col width="13" customWidth="1" min="6" max="6"/>
    <col width="13" customWidth="1" min="7" max="7"/>
  </cols>
  <sheetData>
    <row r="1">
      <c r="A1" s="1" t="inlineStr">
        <is>
          <t>ZAZEN TAX</t>
        </is>
      </c>
    </row>
    <row r="2">
      <c r="A2" s="2" t="inlineStr">
        <is>
          <t>By what each listing actually contributes</t>
        </is>
      </c>
    </row>
    <row r="3">
      <c r="A3" s="3" t="inlineStr">
        <is>
          <t>Pounds a month, not margin percentage.</t>
        </is>
      </c>
    </row>
    <row r="6" ht="28" customHeight="1">
      <c r="A6" s="6" t="inlineStr">
        <is>
          <t>Rank</t>
        </is>
      </c>
      <c r="B6" s="6" t="inlineStr">
        <is>
          <t>Listing</t>
        </is>
      </c>
      <c r="C6" s="6" t="inlineStr">
        <is>
          <t>Units a month</t>
        </is>
      </c>
      <c r="D6" s="6" t="inlineStr">
        <is>
          <t>Contribution a unit</t>
        </is>
      </c>
      <c r="E6" s="6" t="inlineStr">
        <is>
          <t>Margin</t>
        </is>
      </c>
      <c r="F6" s="6" t="inlineStr">
        <is>
          <t>A month</t>
        </is>
      </c>
      <c r="G6" s="6" t="inlineStr">
        <is>
          <t>Running share</t>
        </is>
      </c>
    </row>
    <row r="7">
      <c r="A7" s="14" t="n">
        <v>1</v>
      </c>
      <c r="B7" s="24">
        <f>IFERROR(INDEX(Listings!$A$8:$A$22,MATCH(LARGE(Listings!$N$8:$N$22,1),Listings!$N$8:$N$22,0)),"")</f>
        <v/>
      </c>
      <c r="C7" s="25">
        <f>IFERROR(INDEX(Listings!$H$8:$H$22,MATCH(LARGE(Listings!$N$8:$N$22,1),Listings!$N$8:$N$22,0)),"")</f>
        <v/>
      </c>
      <c r="D7" s="11">
        <f>IFERROR(INDEX(Listings!$K$8:$K$22,MATCH(LARGE(Listings!$N$8:$N$22,1),Listings!$N$8:$N$22,0)),"")</f>
        <v/>
      </c>
      <c r="E7" s="12">
        <f>IFERROR(INDEX(Listings!$L$8:$L$22,MATCH(LARGE(Listings!$N$8:$N$22,1),Listings!$N$8:$N$22,0)),"")</f>
        <v/>
      </c>
      <c r="F7" s="11">
        <f>IFERROR(INDEX(Listings!$M$8:$M$22,MATCH(LARGE(Listings!$N$8:$N$22,1),Listings!$N$8:$N$22,0)),"")</f>
        <v/>
      </c>
      <c r="G7" s="12">
        <f>IFERROR(SUM($F$7:$F7)/Listings!$B$26,"")</f>
        <v/>
      </c>
    </row>
    <row r="8">
      <c r="A8" s="14" t="n">
        <v>2</v>
      </c>
      <c r="B8" s="24">
        <f>IFERROR(INDEX(Listings!$A$8:$A$22,MATCH(LARGE(Listings!$N$8:$N$22,2),Listings!$N$8:$N$22,0)),"")</f>
        <v/>
      </c>
      <c r="C8" s="25">
        <f>IFERROR(INDEX(Listings!$H$8:$H$22,MATCH(LARGE(Listings!$N$8:$N$22,2),Listings!$N$8:$N$22,0)),"")</f>
        <v/>
      </c>
      <c r="D8" s="11">
        <f>IFERROR(INDEX(Listings!$K$8:$K$22,MATCH(LARGE(Listings!$N$8:$N$22,2),Listings!$N$8:$N$22,0)),"")</f>
        <v/>
      </c>
      <c r="E8" s="12">
        <f>IFERROR(INDEX(Listings!$L$8:$L$22,MATCH(LARGE(Listings!$N$8:$N$22,2),Listings!$N$8:$N$22,0)),"")</f>
        <v/>
      </c>
      <c r="F8" s="11">
        <f>IFERROR(INDEX(Listings!$M$8:$M$22,MATCH(LARGE(Listings!$N$8:$N$22,2),Listings!$N$8:$N$22,0)),"")</f>
        <v/>
      </c>
      <c r="G8" s="12">
        <f>IFERROR(SUM($F$7:$F8)/Listings!$B$26,"")</f>
        <v/>
      </c>
    </row>
    <row r="9">
      <c r="A9" s="14" t="n">
        <v>3</v>
      </c>
      <c r="B9" s="24">
        <f>IFERROR(INDEX(Listings!$A$8:$A$22,MATCH(LARGE(Listings!$N$8:$N$22,3),Listings!$N$8:$N$22,0)),"")</f>
        <v/>
      </c>
      <c r="C9" s="25">
        <f>IFERROR(INDEX(Listings!$H$8:$H$22,MATCH(LARGE(Listings!$N$8:$N$22,3),Listings!$N$8:$N$22,0)),"")</f>
        <v/>
      </c>
      <c r="D9" s="11">
        <f>IFERROR(INDEX(Listings!$K$8:$K$22,MATCH(LARGE(Listings!$N$8:$N$22,3),Listings!$N$8:$N$22,0)),"")</f>
        <v/>
      </c>
      <c r="E9" s="12">
        <f>IFERROR(INDEX(Listings!$L$8:$L$22,MATCH(LARGE(Listings!$N$8:$N$22,3),Listings!$N$8:$N$22,0)),"")</f>
        <v/>
      </c>
      <c r="F9" s="11">
        <f>IFERROR(INDEX(Listings!$M$8:$M$22,MATCH(LARGE(Listings!$N$8:$N$22,3),Listings!$N$8:$N$22,0)),"")</f>
        <v/>
      </c>
      <c r="G9" s="12">
        <f>IFERROR(SUM($F$7:$F9)/Listings!$B$26,"")</f>
        <v/>
      </c>
    </row>
    <row r="10">
      <c r="A10" s="14" t="n">
        <v>4</v>
      </c>
      <c r="B10" s="24">
        <f>IFERROR(INDEX(Listings!$A$8:$A$22,MATCH(LARGE(Listings!$N$8:$N$22,4),Listings!$N$8:$N$22,0)),"")</f>
        <v/>
      </c>
      <c r="C10" s="25">
        <f>IFERROR(INDEX(Listings!$H$8:$H$22,MATCH(LARGE(Listings!$N$8:$N$22,4),Listings!$N$8:$N$22,0)),"")</f>
        <v/>
      </c>
      <c r="D10" s="11">
        <f>IFERROR(INDEX(Listings!$K$8:$K$22,MATCH(LARGE(Listings!$N$8:$N$22,4),Listings!$N$8:$N$22,0)),"")</f>
        <v/>
      </c>
      <c r="E10" s="12">
        <f>IFERROR(INDEX(Listings!$L$8:$L$22,MATCH(LARGE(Listings!$N$8:$N$22,4),Listings!$N$8:$N$22,0)),"")</f>
        <v/>
      </c>
      <c r="F10" s="11">
        <f>IFERROR(INDEX(Listings!$M$8:$M$22,MATCH(LARGE(Listings!$N$8:$N$22,4),Listings!$N$8:$N$22,0)),"")</f>
        <v/>
      </c>
      <c r="G10" s="12">
        <f>IFERROR(SUM($F$7:$F10)/Listings!$B$26,"")</f>
        <v/>
      </c>
    </row>
    <row r="11">
      <c r="A11" s="14" t="n">
        <v>5</v>
      </c>
      <c r="B11" s="24">
        <f>IFERROR(INDEX(Listings!$A$8:$A$22,MATCH(LARGE(Listings!$N$8:$N$22,5),Listings!$N$8:$N$22,0)),"")</f>
        <v/>
      </c>
      <c r="C11" s="25">
        <f>IFERROR(INDEX(Listings!$H$8:$H$22,MATCH(LARGE(Listings!$N$8:$N$22,5),Listings!$N$8:$N$22,0)),"")</f>
        <v/>
      </c>
      <c r="D11" s="11">
        <f>IFERROR(INDEX(Listings!$K$8:$K$22,MATCH(LARGE(Listings!$N$8:$N$22,5),Listings!$N$8:$N$22,0)),"")</f>
        <v/>
      </c>
      <c r="E11" s="12">
        <f>IFERROR(INDEX(Listings!$L$8:$L$22,MATCH(LARGE(Listings!$N$8:$N$22,5),Listings!$N$8:$N$22,0)),"")</f>
        <v/>
      </c>
      <c r="F11" s="11">
        <f>IFERROR(INDEX(Listings!$M$8:$M$22,MATCH(LARGE(Listings!$N$8:$N$22,5),Listings!$N$8:$N$22,0)),"")</f>
        <v/>
      </c>
      <c r="G11" s="12">
        <f>IFERROR(SUM($F$7:$F11)/Listings!$B$26,"")</f>
        <v/>
      </c>
    </row>
    <row r="12">
      <c r="A12" s="14" t="n">
        <v>6</v>
      </c>
      <c r="B12" s="24">
        <f>IFERROR(INDEX(Listings!$A$8:$A$22,MATCH(LARGE(Listings!$N$8:$N$22,6),Listings!$N$8:$N$22,0)),"")</f>
        <v/>
      </c>
      <c r="C12" s="25">
        <f>IFERROR(INDEX(Listings!$H$8:$H$22,MATCH(LARGE(Listings!$N$8:$N$22,6),Listings!$N$8:$N$22,0)),"")</f>
        <v/>
      </c>
      <c r="D12" s="11">
        <f>IFERROR(INDEX(Listings!$K$8:$K$22,MATCH(LARGE(Listings!$N$8:$N$22,6),Listings!$N$8:$N$22,0)),"")</f>
        <v/>
      </c>
      <c r="E12" s="12">
        <f>IFERROR(INDEX(Listings!$L$8:$L$22,MATCH(LARGE(Listings!$N$8:$N$22,6),Listings!$N$8:$N$22,0)),"")</f>
        <v/>
      </c>
      <c r="F12" s="11">
        <f>IFERROR(INDEX(Listings!$M$8:$M$22,MATCH(LARGE(Listings!$N$8:$N$22,6),Listings!$N$8:$N$22,0)),"")</f>
        <v/>
      </c>
      <c r="G12" s="12">
        <f>IFERROR(SUM($F$7:$F12)/Listings!$B$26,"")</f>
        <v/>
      </c>
    </row>
    <row r="13">
      <c r="A13" s="14" t="n">
        <v>7</v>
      </c>
      <c r="B13" s="24">
        <f>IFERROR(INDEX(Listings!$A$8:$A$22,MATCH(LARGE(Listings!$N$8:$N$22,7),Listings!$N$8:$N$22,0)),"")</f>
        <v/>
      </c>
      <c r="C13" s="25">
        <f>IFERROR(INDEX(Listings!$H$8:$H$22,MATCH(LARGE(Listings!$N$8:$N$22,7),Listings!$N$8:$N$22,0)),"")</f>
        <v/>
      </c>
      <c r="D13" s="11">
        <f>IFERROR(INDEX(Listings!$K$8:$K$22,MATCH(LARGE(Listings!$N$8:$N$22,7),Listings!$N$8:$N$22,0)),"")</f>
        <v/>
      </c>
      <c r="E13" s="12">
        <f>IFERROR(INDEX(Listings!$L$8:$L$22,MATCH(LARGE(Listings!$N$8:$N$22,7),Listings!$N$8:$N$22,0)),"")</f>
        <v/>
      </c>
      <c r="F13" s="11">
        <f>IFERROR(INDEX(Listings!$M$8:$M$22,MATCH(LARGE(Listings!$N$8:$N$22,7),Listings!$N$8:$N$22,0)),"")</f>
        <v/>
      </c>
      <c r="G13" s="12">
        <f>IFERROR(SUM($F$7:$F13)/Listings!$B$26,"")</f>
        <v/>
      </c>
    </row>
    <row r="14">
      <c r="A14" s="14" t="n">
        <v>8</v>
      </c>
      <c r="B14" s="24">
        <f>IFERROR(INDEX(Listings!$A$8:$A$22,MATCH(LARGE(Listings!$N$8:$N$22,8),Listings!$N$8:$N$22,0)),"")</f>
        <v/>
      </c>
      <c r="C14" s="25">
        <f>IFERROR(INDEX(Listings!$H$8:$H$22,MATCH(LARGE(Listings!$N$8:$N$22,8),Listings!$N$8:$N$22,0)),"")</f>
        <v/>
      </c>
      <c r="D14" s="11">
        <f>IFERROR(INDEX(Listings!$K$8:$K$22,MATCH(LARGE(Listings!$N$8:$N$22,8),Listings!$N$8:$N$22,0)),"")</f>
        <v/>
      </c>
      <c r="E14" s="12">
        <f>IFERROR(INDEX(Listings!$L$8:$L$22,MATCH(LARGE(Listings!$N$8:$N$22,8),Listings!$N$8:$N$22,0)),"")</f>
        <v/>
      </c>
      <c r="F14" s="11">
        <f>IFERROR(INDEX(Listings!$M$8:$M$22,MATCH(LARGE(Listings!$N$8:$N$22,8),Listings!$N$8:$N$22,0)),"")</f>
        <v/>
      </c>
      <c r="G14" s="12">
        <f>IFERROR(SUM($F$7:$F14)/Listings!$B$26,"")</f>
        <v/>
      </c>
    </row>
    <row r="15">
      <c r="A15" s="14" t="n">
        <v>9</v>
      </c>
      <c r="B15" s="24">
        <f>IFERROR(INDEX(Listings!$A$8:$A$22,MATCH(LARGE(Listings!$N$8:$N$22,9),Listings!$N$8:$N$22,0)),"")</f>
        <v/>
      </c>
      <c r="C15" s="25">
        <f>IFERROR(INDEX(Listings!$H$8:$H$22,MATCH(LARGE(Listings!$N$8:$N$22,9),Listings!$N$8:$N$22,0)),"")</f>
        <v/>
      </c>
      <c r="D15" s="11">
        <f>IFERROR(INDEX(Listings!$K$8:$K$22,MATCH(LARGE(Listings!$N$8:$N$22,9),Listings!$N$8:$N$22,0)),"")</f>
        <v/>
      </c>
      <c r="E15" s="12">
        <f>IFERROR(INDEX(Listings!$L$8:$L$22,MATCH(LARGE(Listings!$N$8:$N$22,9),Listings!$N$8:$N$22,0)),"")</f>
        <v/>
      </c>
      <c r="F15" s="11">
        <f>IFERROR(INDEX(Listings!$M$8:$M$22,MATCH(LARGE(Listings!$N$8:$N$22,9),Listings!$N$8:$N$22,0)),"")</f>
        <v/>
      </c>
      <c r="G15" s="12">
        <f>IFERROR(SUM($F$7:$F15)/Listings!$B$26,"")</f>
        <v/>
      </c>
    </row>
    <row r="16">
      <c r="A16" s="14" t="n">
        <v>10</v>
      </c>
      <c r="B16" s="24">
        <f>IFERROR(INDEX(Listings!$A$8:$A$22,MATCH(LARGE(Listings!$N$8:$N$22,10),Listings!$N$8:$N$22,0)),"")</f>
        <v/>
      </c>
      <c r="C16" s="25">
        <f>IFERROR(INDEX(Listings!$H$8:$H$22,MATCH(LARGE(Listings!$N$8:$N$22,10),Listings!$N$8:$N$22,0)),"")</f>
        <v/>
      </c>
      <c r="D16" s="11">
        <f>IFERROR(INDEX(Listings!$K$8:$K$22,MATCH(LARGE(Listings!$N$8:$N$22,10),Listings!$N$8:$N$22,0)),"")</f>
        <v/>
      </c>
      <c r="E16" s="12">
        <f>IFERROR(INDEX(Listings!$L$8:$L$22,MATCH(LARGE(Listings!$N$8:$N$22,10),Listings!$N$8:$N$22,0)),"")</f>
        <v/>
      </c>
      <c r="F16" s="11">
        <f>IFERROR(INDEX(Listings!$M$8:$M$22,MATCH(LARGE(Listings!$N$8:$N$22,10),Listings!$N$8:$N$22,0)),"")</f>
        <v/>
      </c>
      <c r="G16" s="12">
        <f>IFERROR(SUM($F$7:$F16)/Listings!$B$26,"")</f>
        <v/>
      </c>
    </row>
    <row r="17">
      <c r="A17" s="14" t="n">
        <v>11</v>
      </c>
      <c r="B17" s="24">
        <f>IFERROR(INDEX(Listings!$A$8:$A$22,MATCH(LARGE(Listings!$N$8:$N$22,11),Listings!$N$8:$N$22,0)),"")</f>
        <v/>
      </c>
      <c r="C17" s="25">
        <f>IFERROR(INDEX(Listings!$H$8:$H$22,MATCH(LARGE(Listings!$N$8:$N$22,11),Listings!$N$8:$N$22,0)),"")</f>
        <v/>
      </c>
      <c r="D17" s="11">
        <f>IFERROR(INDEX(Listings!$K$8:$K$22,MATCH(LARGE(Listings!$N$8:$N$22,11),Listings!$N$8:$N$22,0)),"")</f>
        <v/>
      </c>
      <c r="E17" s="12">
        <f>IFERROR(INDEX(Listings!$L$8:$L$22,MATCH(LARGE(Listings!$N$8:$N$22,11),Listings!$N$8:$N$22,0)),"")</f>
        <v/>
      </c>
      <c r="F17" s="11">
        <f>IFERROR(INDEX(Listings!$M$8:$M$22,MATCH(LARGE(Listings!$N$8:$N$22,11),Listings!$N$8:$N$22,0)),"")</f>
        <v/>
      </c>
      <c r="G17" s="12">
        <f>IFERROR(SUM($F$7:$F17)/Listings!$B$26,"")</f>
        <v/>
      </c>
    </row>
    <row r="18">
      <c r="A18" s="14" t="n">
        <v>12</v>
      </c>
      <c r="B18" s="24">
        <f>IFERROR(INDEX(Listings!$A$8:$A$22,MATCH(LARGE(Listings!$N$8:$N$22,12),Listings!$N$8:$N$22,0)),"")</f>
        <v/>
      </c>
      <c r="C18" s="25">
        <f>IFERROR(INDEX(Listings!$H$8:$H$22,MATCH(LARGE(Listings!$N$8:$N$22,12),Listings!$N$8:$N$22,0)),"")</f>
        <v/>
      </c>
      <c r="D18" s="11">
        <f>IFERROR(INDEX(Listings!$K$8:$K$22,MATCH(LARGE(Listings!$N$8:$N$22,12),Listings!$N$8:$N$22,0)),"")</f>
        <v/>
      </c>
      <c r="E18" s="12">
        <f>IFERROR(INDEX(Listings!$L$8:$L$22,MATCH(LARGE(Listings!$N$8:$N$22,12),Listings!$N$8:$N$22,0)),"")</f>
        <v/>
      </c>
      <c r="F18" s="11">
        <f>IFERROR(INDEX(Listings!$M$8:$M$22,MATCH(LARGE(Listings!$N$8:$N$22,12),Listings!$N$8:$N$22,0)),"")</f>
        <v/>
      </c>
      <c r="G18" s="12">
        <f>IFERROR(SUM($F$7:$F18)/Listings!$B$26,"")</f>
        <v/>
      </c>
    </row>
    <row r="19">
      <c r="A19" s="14" t="n">
        <v>13</v>
      </c>
      <c r="B19" s="24">
        <f>IFERROR(INDEX(Listings!$A$8:$A$22,MATCH(LARGE(Listings!$N$8:$N$22,13),Listings!$N$8:$N$22,0)),"")</f>
        <v/>
      </c>
      <c r="C19" s="25">
        <f>IFERROR(INDEX(Listings!$H$8:$H$22,MATCH(LARGE(Listings!$N$8:$N$22,13),Listings!$N$8:$N$22,0)),"")</f>
        <v/>
      </c>
      <c r="D19" s="11">
        <f>IFERROR(INDEX(Listings!$K$8:$K$22,MATCH(LARGE(Listings!$N$8:$N$22,13),Listings!$N$8:$N$22,0)),"")</f>
        <v/>
      </c>
      <c r="E19" s="12">
        <f>IFERROR(INDEX(Listings!$L$8:$L$22,MATCH(LARGE(Listings!$N$8:$N$22,13),Listings!$N$8:$N$22,0)),"")</f>
        <v/>
      </c>
      <c r="F19" s="11">
        <f>IFERROR(INDEX(Listings!$M$8:$M$22,MATCH(LARGE(Listings!$N$8:$N$22,13),Listings!$N$8:$N$22,0)),"")</f>
        <v/>
      </c>
      <c r="G19" s="12">
        <f>IFERROR(SUM($F$7:$F19)/Listings!$B$26,"")</f>
        <v/>
      </c>
    </row>
    <row r="20">
      <c r="A20" s="14" t="n">
        <v>14</v>
      </c>
      <c r="B20" s="24">
        <f>IFERROR(INDEX(Listings!$A$8:$A$22,MATCH(LARGE(Listings!$N$8:$N$22,14),Listings!$N$8:$N$22,0)),"")</f>
        <v/>
      </c>
      <c r="C20" s="25">
        <f>IFERROR(INDEX(Listings!$H$8:$H$22,MATCH(LARGE(Listings!$N$8:$N$22,14),Listings!$N$8:$N$22,0)),"")</f>
        <v/>
      </c>
      <c r="D20" s="11">
        <f>IFERROR(INDEX(Listings!$K$8:$K$22,MATCH(LARGE(Listings!$N$8:$N$22,14),Listings!$N$8:$N$22,0)),"")</f>
        <v/>
      </c>
      <c r="E20" s="12">
        <f>IFERROR(INDEX(Listings!$L$8:$L$22,MATCH(LARGE(Listings!$N$8:$N$22,14),Listings!$N$8:$N$22,0)),"")</f>
        <v/>
      </c>
      <c r="F20" s="11">
        <f>IFERROR(INDEX(Listings!$M$8:$M$22,MATCH(LARGE(Listings!$N$8:$N$22,14),Listings!$N$8:$N$22,0)),"")</f>
        <v/>
      </c>
      <c r="G20" s="12">
        <f>IFERROR(SUM($F$7:$F20)/Listings!$B$26,"")</f>
        <v/>
      </c>
    </row>
    <row r="21">
      <c r="A21" s="14" t="n">
        <v>15</v>
      </c>
      <c r="B21" s="24">
        <f>IFERROR(INDEX(Listings!$A$8:$A$22,MATCH(LARGE(Listings!$N$8:$N$22,15),Listings!$N$8:$N$22,0)),"")</f>
        <v/>
      </c>
      <c r="C21" s="25">
        <f>IFERROR(INDEX(Listings!$H$8:$H$22,MATCH(LARGE(Listings!$N$8:$N$22,15),Listings!$N$8:$N$22,0)),"")</f>
        <v/>
      </c>
      <c r="D21" s="11">
        <f>IFERROR(INDEX(Listings!$K$8:$K$22,MATCH(LARGE(Listings!$N$8:$N$22,15),Listings!$N$8:$N$22,0)),"")</f>
        <v/>
      </c>
      <c r="E21" s="12">
        <f>IFERROR(INDEX(Listings!$L$8:$L$22,MATCH(LARGE(Listings!$N$8:$N$22,15),Listings!$N$8:$N$22,0)),"")</f>
        <v/>
      </c>
      <c r="F21" s="11">
        <f>IFERROR(INDEX(Listings!$M$8:$M$22,MATCH(LARGE(Listings!$N$8:$N$22,15),Listings!$N$8:$N$22,0)),"")</f>
        <v/>
      </c>
      <c r="G21" s="12">
        <f>IFERROR(SUM($F$7:$F21)/Listings!$B$26,"")</f>
        <v/>
      </c>
    </row>
    <row r="23">
      <c r="A23" s="13" t="inlineStr">
        <is>
          <t>Listings carrying the top 80%</t>
        </is>
      </c>
      <c r="B23" s="14">
        <f>IFERROR(COUNTIF($G$7:$G$21,"&lt;0.8")+1,"")</f>
        <v/>
      </c>
      <c r="C23" s="21" t="inlineStr">
        <is>
          <t>How few of them the business actually rests on.</t>
        </is>
      </c>
    </row>
    <row r="24">
      <c r="A24" s="13" t="inlineStr">
        <is>
          <t>Listings contributing under £5 a month</t>
        </is>
      </c>
      <c r="B24" s="14">
        <f>COUNTIF($F$7:$F$21,"&lt;5")</f>
        <v/>
      </c>
      <c r="C24" s="21" t="inlineStr">
        <is>
          <t>Each one still costs you photographs, listing time and customer questions.</t>
        </is>
      </c>
    </row>
    <row r="25">
      <c r="A25" s="13" t="inlineStr">
        <is>
          <t>What dropping the loss-makers would add back</t>
        </is>
      </c>
      <c r="B25" s="17">
        <f>-SUMIF($F$7:$F$21,"&lt;0")</f>
        <v/>
      </c>
      <c r="C25" s="21" t="inlineStr">
        <is>
          <t>Nil if nothing is losing money.</t>
        </is>
      </c>
    </row>
    <row r="27">
      <c r="A27" s="23" t="inlineStr">
        <is>
          <t>The order here is rarely the order you would guess from the prices, and almost never the order of the margin column.</t>
        </is>
      </c>
    </row>
  </sheetData>
  <mergeCells count="1">
    <mergeCell ref="A3:F3"/>
  </mergeCells>
  <conditionalFormatting sqref="F7:F21">
    <cfRule type="cellIs" priority="1" operator="lessThan" dxfId="0">
      <formula>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2026-08-09T15:28:14Z</dcterms:created>
  <dcterms:modified xmlns:dcterms="http://purl.org/dc/terms/" xmlns:xsi="http://www.w3.org/2001/XMLSchema-instance" xsi:type="dcterms:W3CDTF">2026-08-09T15:28:14Z</dcterms:modified>
</cp:coreProperties>
</file>