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Mileage log" sheetId="2" state="visible" r:id="rId2"/>
    <sheet xmlns:r="http://schemas.openxmlformats.org/officeDocument/2006/relationships" name="Home office" sheetId="3" state="visible" r:id="rId3"/>
    <sheet xmlns:r="http://schemas.openxmlformats.org/officeDocument/2006/relationships" name="Your claim" sheetId="4" state="visible" r:id="rId4"/>
  </sheets>
  <definedNames/>
  <calcPr calcId="124519" fullCalcOnLoad="1"/>
</workbook>
</file>

<file path=xl/styles.xml><?xml version="1.0" encoding="utf-8"?>
<styleSheet xmlns="http://schemas.openxmlformats.org/spreadsheetml/2006/main">
  <numFmts count="4">
    <numFmt numFmtId="164" formatCode="0.00&quot;p&quot;"/>
    <numFmt numFmtId="165" formatCode="d mmm yyyy"/>
    <numFmt numFmtId="166" formatCode="£#,##0.00;(£#,##0.00);&quot;–&quot;"/>
    <numFmt numFmtId="167" formatCode="0.0%"/>
  </numFmts>
  <fonts count="9">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b val="1"/>
      <color rgb="001F2A37"/>
      <sz val="11"/>
    </font>
    <font>
      <name val="Calibri"/>
      <color rgb="001F2A37"/>
      <sz val="11"/>
    </font>
    <font>
      <name val="Calibri"/>
      <color rgb="006B7280"/>
      <sz val="10"/>
    </font>
    <font>
      <name val="Calibri"/>
      <b val="1"/>
      <color rgb="00FFFFFF"/>
      <sz val="9.5"/>
    </font>
  </fonts>
  <fills count="7">
    <fill>
      <patternFill/>
    </fill>
    <fill>
      <patternFill patternType="gray125"/>
    </fill>
    <fill>
      <patternFill patternType="solid">
        <fgColor rgb="00EEF1F5"/>
      </patternFill>
    </fill>
    <fill>
      <patternFill patternType="solid">
        <fgColor rgb="00FFF6DC"/>
      </patternFill>
    </fill>
    <fill>
      <patternFill patternType="solid">
        <fgColor rgb="001F2A37"/>
      </patternFill>
    </fill>
    <fill>
      <patternFill patternType="solid">
        <fgColor rgb="00EDF1F7"/>
      </patternFill>
    </fill>
    <fill>
      <patternFill patternType="solid">
        <fgColor rgb="00E1F0E4"/>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8">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2" borderId="1" applyAlignment="1" pivotButton="0" quotePrefix="0" xfId="0">
      <alignment vertical="center"/>
    </xf>
    <xf numFmtId="0" fontId="0" fillId="0" borderId="4" pivotButton="0" quotePrefix="0" xfId="0"/>
    <xf numFmtId="0" fontId="0" fillId="0" borderId="5" pivotButton="0" quotePrefix="0" xfId="0"/>
    <xf numFmtId="0" fontId="6" fillId="0" borderId="1" applyAlignment="1" pivotButton="0" quotePrefix="0" xfId="0">
      <alignment vertical="center" wrapText="1"/>
    </xf>
    <xf numFmtId="164" fontId="6" fillId="3" borderId="1" applyAlignment="1" pivotButton="0" quotePrefix="0" xfId="0">
      <alignment horizontal="right" vertical="center"/>
    </xf>
    <xf numFmtId="3" fontId="6" fillId="3" borderId="1" applyAlignment="1" pivotButton="0" quotePrefix="0" xfId="0">
      <alignment horizontal="right" vertical="center"/>
    </xf>
    <xf numFmtId="0" fontId="7" fillId="0" borderId="0" applyAlignment="1" pivotButton="0" quotePrefix="0" xfId="0">
      <alignment vertical="top" wrapText="1"/>
    </xf>
    <xf numFmtId="0" fontId="8" fillId="4" borderId="1" applyAlignment="1" pivotButton="0" quotePrefix="0" xfId="0">
      <alignment horizontal="center" vertical="center" wrapText="1"/>
    </xf>
    <xf numFmtId="165" fontId="6" fillId="3" borderId="1" applyAlignment="1" pivotButton="0" quotePrefix="0" xfId="0">
      <alignment horizontal="right" vertical="center"/>
    </xf>
    <xf numFmtId="0" fontId="6" fillId="3" borderId="1" applyAlignment="1" pivotButton="0" quotePrefix="0" xfId="0">
      <alignment horizontal="right" vertical="center"/>
    </xf>
    <xf numFmtId="3" fontId="6" fillId="5" borderId="1" applyAlignment="1" pivotButton="0" quotePrefix="0" xfId="0">
      <alignment horizontal="right" vertical="center"/>
    </xf>
    <xf numFmtId="166" fontId="6" fillId="5" borderId="1" applyAlignment="1" pivotButton="0" quotePrefix="0" xfId="0">
      <alignment horizontal="right" vertical="center"/>
    </xf>
    <xf numFmtId="166" fontId="5" fillId="5" borderId="1" applyAlignment="1" pivotButton="0" quotePrefix="0" xfId="0">
      <alignment horizontal="right" vertical="center"/>
    </xf>
    <xf numFmtId="0" fontId="6" fillId="2" borderId="1" applyAlignment="1" pivotButton="0" quotePrefix="0" xfId="0">
      <alignment vertical="center"/>
    </xf>
    <xf numFmtId="3" fontId="5" fillId="2" borderId="1" applyAlignment="1" pivotButton="0" quotePrefix="0" xfId="0">
      <alignment horizontal="right" vertical="center"/>
    </xf>
    <xf numFmtId="166" fontId="5" fillId="2" borderId="1" applyAlignment="1" pivotButton="0" quotePrefix="0" xfId="0">
      <alignment horizontal="right" vertical="center"/>
    </xf>
    <xf numFmtId="3" fontId="5" fillId="5" borderId="1" applyAlignment="1" pivotButton="0" quotePrefix="0" xfId="0">
      <alignment horizontal="right" vertical="center"/>
    </xf>
    <xf numFmtId="166" fontId="5" fillId="6" borderId="1" applyAlignment="1" pivotButton="0" quotePrefix="0" xfId="0">
      <alignment horizontal="right" vertical="center"/>
    </xf>
    <xf numFmtId="0" fontId="5" fillId="0" borderId="1" applyAlignment="1" pivotButton="0" quotePrefix="0" xfId="0">
      <alignment vertical="center" wrapText="1"/>
    </xf>
    <xf numFmtId="166" fontId="6" fillId="3" borderId="1" applyAlignment="1" pivotButton="0" quotePrefix="0" xfId="0">
      <alignment horizontal="right" vertical="center"/>
    </xf>
    <xf numFmtId="167" fontId="6" fillId="5" borderId="1" applyAlignment="1" pivotButton="0" quotePrefix="0" xfId="0">
      <alignment horizontal="right" vertical="center"/>
    </xf>
    <xf numFmtId="166" fontId="6" fillId="6" borderId="1" applyAlignment="1" pivotButton="0" quotePrefix="0" xfId="0">
      <alignment horizontal="right" vertical="center"/>
    </xf>
    <xf numFmtId="167" fontId="6" fillId="3"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31"/>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Mileage and home office log</t>
        </is>
      </c>
    </row>
    <row r="4" ht="52" customHeight="1">
      <c r="B4" s="2" t="inlineStr">
        <is>
          <t>These are the two expenses people under-claim most, and for the same reason in both cases: the record is a nuisance to keep, so it does not get kept, and at the year end a number gets guessed downwards because a guessed-down number feels safer. A guessed number is not safer. A recorded one is.</t>
        </is>
      </c>
    </row>
    <row r="6" ht="22" customHeight="1">
      <c r="B6" s="1" t="inlineStr">
        <is>
          <t>Two things changed in April 2026</t>
        </is>
      </c>
    </row>
    <row r="7" ht="52" customHeight="1">
      <c r="B7" s="2" t="inlineStr">
        <is>
          <t>-  The approved mileage rate for the first 10,000 business miles in a car or van rose from 45p to 55p. It was confirmed in May 2026 and backdated to 6 April 2026. The rate above 10,000 miles stayed at 25p. If you have been using a calculator that still says 45p, it is understating your claim by a tenth of every mile.</t>
        </is>
      </c>
    </row>
    <row r="8" ht="78" customHeight="1">
      <c r="B8" s="2" t="inlineStr">
        <is>
          <t>-  The working from home deduction that employees used to claim personally was abolished from 6 April 2026. What survives is the employer route: a company can still reimburse £6 a week free of tax and National Insurance where there is a genuine requirement to work from home. That matters more than it sounds, because a director is an employee of their own company, so the company can still pay it. Sole traders are not affected at all: they claim through their business accounts as before.</t>
        </is>
      </c>
    </row>
    <row r="10" ht="22" customHeight="1">
      <c r="B10" s="1" t="inlineStr">
        <is>
          <t>Mileage: what counts</t>
        </is>
      </c>
    </row>
    <row r="11" ht="26" customHeight="1">
      <c r="B11" s="2" t="inlineStr">
        <is>
          <t>-  55p a mile for the first 10,000 business miles in a car or van, then 25p. The 10,000 resets each tax year, and it is per person rather than per vehicle.</t>
        </is>
      </c>
    </row>
    <row r="12" ht="15" customHeight="1">
      <c r="B12" s="2" t="inlineStr">
        <is>
          <t>-  24p a mile for motorcycles and 20p for bicycles, with no threshold on either.</t>
        </is>
      </c>
    </row>
    <row r="13" ht="26" customHeight="1">
      <c r="B13" s="2" t="inlineStr">
        <is>
          <t>-  An extra 5p a mile for each colleague you carry on the same business journey. Almost nobody claims this.</t>
        </is>
      </c>
    </row>
    <row r="14" ht="39" customHeight="1">
      <c r="B14" s="2" t="inlineStr">
        <is>
          <t>-  Travel to a PERMANENT workplace is commuting and is not claimable, however far it is. Travel to a temporary workplace is, until you expect to be there more than 24 months, at which point it stops being temporary.</t>
        </is>
      </c>
    </row>
    <row r="15" ht="26" customHeight="1">
      <c r="B15" s="2" t="inlineStr">
        <is>
          <t>-  Pick one method per vehicle and stay with it. If you claim the mileage rate you cannot also claim fuel, insurance, servicing or capital allowances on that same vehicle.</t>
        </is>
      </c>
    </row>
    <row r="17" ht="22" customHeight="1">
      <c r="B17" s="1" t="inlineStr">
        <is>
          <t>Home office: three routes, and only some are open to you</t>
        </is>
      </c>
    </row>
    <row r="18" ht="26" customHeight="1">
      <c r="B18" s="2" t="inlineStr">
        <is>
          <t>-  Sole trader, simplified: a flat £10, £18 or £26 a month depending on how many hours a month you work from home. No records of actual costs needed, which is the whole point of it.</t>
        </is>
      </c>
    </row>
    <row r="19" ht="39" customHeight="1">
      <c r="B19" s="2" t="inlineStr">
        <is>
          <t>-  Sole trader, actual costs: work out your household running costs and apportion them by rooms and by time. It is more work and it is usually worth considerably more, which is what this workbook is for.</t>
        </is>
      </c>
    </row>
    <row r="20" ht="39" customHeight="1">
      <c r="B20" s="2" t="inlineStr">
        <is>
          <t>-  Director of your own company: the company reimburses you £6 a week with no records, or more under a formal licence agreement with proper evidence. This is the route that survived April 2026.</t>
        </is>
      </c>
    </row>
    <row r="22" ht="22" customHeight="1">
      <c r="B22" s="1" t="inlineStr">
        <is>
          <t>One trap worth naming</t>
        </is>
      </c>
    </row>
    <row r="23" ht="52" customHeight="1">
      <c r="B23" s="2" t="inlineStr">
        <is>
          <t>Do not claim a room as used EXCLUSIVELY for business. The saving is small and it can restrict private residence relief on that part of your home when you sell it, which is a far larger number. Keeping a room in mixed use, which is what almost everyone genuinely does, avoids the problem entirely and still supports a sensible apportionment.</t>
        </is>
      </c>
    </row>
    <row r="25" ht="22" customHeight="1">
      <c r="B25" s="1" t="inlineStr">
        <is>
          <t>How to use this workbook</t>
        </is>
      </c>
    </row>
    <row r="26" ht="26" customHeight="1">
      <c r="B26" s="2" t="inlineStr">
        <is>
          <t>-  Mileage log: one row per journey, with where you went and why. The purpose column is the one that matters if anyone ever asks, and it takes five seconds.</t>
        </is>
      </c>
    </row>
    <row r="27" ht="15" customHeight="1">
      <c r="B27" s="2" t="inlineStr">
        <is>
          <t>-  Home office: fill in whichever routes apply to you and the sheet says which is worth most.</t>
        </is>
      </c>
    </row>
    <row r="28" ht="15" customHeight="1">
      <c r="B28" s="2" t="inlineStr">
        <is>
          <t>-  Your claim: both totals and what they save you in tax.</t>
        </is>
      </c>
    </row>
    <row r="29" ht="26" customHeight="1">
      <c r="B29" s="2" t="inlineStr">
        <is>
          <t>-  Yellow cells are yours to fill in. Grey cells work themselves out, so leave them alone unless you mean to change the method.</t>
        </is>
      </c>
    </row>
    <row r="31" ht="26" customHeight="1">
      <c r="B31" s="2" t="inlineStr">
        <is>
          <t>Not sure which route you are entitled to, or whether a workplace is temporary?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N115"/>
  <sheetViews>
    <sheetView showGridLines="0" workbookViewId="0">
      <pane xSplit="1" ySplit="11" topLeftCell="B12" activePane="bottomRight" state="frozen"/>
      <selection pane="topRight"/>
      <selection pane="bottomLeft"/>
      <selection pane="bottomRight" activeCell="A1" sqref="A1"/>
    </sheetView>
  </sheetViews>
  <sheetFormatPr baseColWidth="8" defaultRowHeight="15"/>
  <cols>
    <col width="3" customWidth="1" min="1" max="1"/>
    <col width="12" customWidth="1" min="2" max="2"/>
    <col width="14" customWidth="1" min="3" max="3"/>
    <col width="22" customWidth="1" min="4" max="4"/>
    <col width="22" customWidth="1" min="5" max="5"/>
    <col width="8" customWidth="1" min="6" max="6"/>
    <col width="13" customWidth="1" min="7" max="7"/>
    <col width="11" customWidth="1" min="8" max="8"/>
    <col width="13" customWidth="1" min="9" max="9"/>
    <col width="11" customWidth="1" min="10" max="10"/>
    <col width="11" customWidth="1" min="11" max="11"/>
    <col width="12" customWidth="1" min="12" max="12"/>
    <col width="12" customWidth="1" min="13" max="13"/>
    <col width="12" customWidth="1" min="14" max="14"/>
  </cols>
  <sheetData>
    <row r="2">
      <c r="B2" s="3" t="inlineStr">
        <is>
          <t>Mileage log</t>
        </is>
      </c>
    </row>
    <row r="3" ht="30" customHeight="1">
      <c r="B3" s="4" t="inlineStr">
        <is>
          <t>One row per business journey. The 10,000 mile threshold is handled for you, including journeys that straddle it. Yellow cells are yours to fill in. Grey cells work themselves out, so leave them alone unless you mean to change the method.</t>
        </is>
      </c>
    </row>
    <row r="5">
      <c r="B5" s="5" t="inlineStr">
        <is>
          <t>Rates for 2026/27, editable</t>
        </is>
      </c>
      <c r="C5" s="6" t="n"/>
      <c r="D5" s="6" t="n"/>
      <c r="E5" s="6" t="n"/>
      <c r="F5" s="6" t="n"/>
      <c r="G5" s="6" t="n"/>
      <c r="H5" s="6" t="n"/>
      <c r="I5" s="6" t="n"/>
      <c r="J5" s="6" t="n"/>
      <c r="K5" s="6" t="n"/>
      <c r="L5" s="6" t="n"/>
      <c r="M5" s="6" t="n"/>
      <c r="N5" s="7" t="n"/>
    </row>
    <row r="6" ht="20" customHeight="1">
      <c r="B6" s="8" t="inlineStr">
        <is>
          <t>First miles at</t>
        </is>
      </c>
      <c r="C6" s="9" t="n">
        <v>0.55</v>
      </c>
      <c r="D6" s="8" t="inlineStr">
        <is>
          <t>for the first</t>
        </is>
      </c>
      <c r="E6" s="10" t="n">
        <v>10000</v>
      </c>
      <c r="F6" s="8" t="inlineStr">
        <is>
          <t>then</t>
        </is>
      </c>
      <c r="G6" s="9" t="n">
        <v>0.25</v>
      </c>
      <c r="H6" s="8" t="inlineStr">
        <is>
          <t>Motorcycle</t>
        </is>
      </c>
      <c r="I6" s="9" t="n">
        <v>0.24</v>
      </c>
      <c r="J6" s="8" t="inlineStr">
        <is>
          <t>Bicycle</t>
        </is>
      </c>
      <c r="K6" s="9" t="n">
        <v>0.2</v>
      </c>
      <c r="L6" s="8" t="inlineStr">
        <is>
          <t>Per passenger</t>
        </is>
      </c>
      <c r="M6" s="9" t="n">
        <v>0.05</v>
      </c>
    </row>
    <row r="8" ht="28" customHeight="1">
      <c r="B8" s="11" t="inlineStr">
        <is>
          <t>The 55p rate was uplifted from 45p in May 2026 and backdated to 6 April 2026. The 25p rate above the threshold did not change. The threshold resets every tax year and applies per person, not per vehicle.</t>
        </is>
      </c>
    </row>
    <row r="11" ht="32" customHeight="1">
      <c r="B11" s="12" t="inlineStr">
        <is>
          <t>Date</t>
        </is>
      </c>
      <c r="C11" s="12" t="inlineStr">
        <is>
          <t>From</t>
        </is>
      </c>
      <c r="D11" s="12" t="inlineStr">
        <is>
          <t>To</t>
        </is>
      </c>
      <c r="E11" s="12" t="inlineStr">
        <is>
          <t>Why</t>
        </is>
      </c>
      <c r="F11" s="12" t="inlineStr">
        <is>
          <t>Miles</t>
        </is>
      </c>
      <c r="G11" s="12" t="inlineStr">
        <is>
          <t>Vehicle</t>
        </is>
      </c>
      <c r="H11" s="12" t="inlineStr">
        <is>
          <t>Passengers</t>
        </is>
      </c>
      <c r="I11" s="12" t="inlineStr">
        <is>
          <t>Miles to date</t>
        </is>
      </c>
      <c r="J11" s="12" t="inlineStr">
        <is>
          <t>At higher rate</t>
        </is>
      </c>
      <c r="K11" s="12" t="inlineStr">
        <is>
          <t>At lower rate</t>
        </is>
      </c>
      <c r="L11" s="12" t="inlineStr">
        <is>
          <t>Mileage</t>
        </is>
      </c>
      <c r="M11" s="12" t="inlineStr">
        <is>
          <t>Passengers</t>
        </is>
      </c>
      <c r="N11" s="12" t="inlineStr">
        <is>
          <t>Claim</t>
        </is>
      </c>
    </row>
    <row r="12" ht="17" customHeight="1">
      <c r="B12" s="13">
        <f>DATE(2026,1,14)</f>
        <v/>
      </c>
      <c r="C12" s="14" t="inlineStr">
        <is>
          <t>Office</t>
        </is>
      </c>
      <c r="D12" s="14" t="inlineStr">
        <is>
          <t>Client site, Leeds</t>
        </is>
      </c>
      <c r="E12" s="14" t="inlineStr">
        <is>
          <t>Install visit</t>
        </is>
      </c>
      <c r="F12" s="10" t="n">
        <v>420</v>
      </c>
      <c r="G12" s="14" t="inlineStr">
        <is>
          <t>Car or van</t>
        </is>
      </c>
      <c r="H12" s="10" t="n"/>
      <c r="I12" s="15">
        <f>IF(G12&lt;&gt;"Car or van","",SUMIFS($F$12:F12,$G$12:G12,"Car or van"))</f>
        <v/>
      </c>
      <c r="J12" s="15">
        <f>IF(I12="","",MAX(0,MIN(I12,$E$6)-MIN(I12-F12,$E$6)))</f>
        <v/>
      </c>
      <c r="K12" s="15">
        <f>IF(I12="","",MAX(0,I12-MAX(I12-F12,$E$6)))</f>
        <v/>
      </c>
      <c r="L12" s="16">
        <f>IF(F12="","",IF(G12="Car or van",J12*$C$6+K12*$G$6,IF(G12="Motorcycle",F12*$I$6,IF(G12="Bicycle",F12*$K$6,0))))</f>
        <v/>
      </c>
      <c r="M12" s="16">
        <f>IF(F12="","",N(H12)*F12*$M$6)</f>
        <v/>
      </c>
      <c r="N12" s="17">
        <f>IF(F12="","",N(L12)+N(M12))</f>
        <v/>
      </c>
    </row>
    <row r="13" ht="17" customHeight="1">
      <c r="B13" s="13">
        <f>DATE(2026,1,27)</f>
        <v/>
      </c>
      <c r="C13" s="14" t="inlineStr">
        <is>
          <t>Office</t>
        </is>
      </c>
      <c r="D13" s="14" t="inlineStr">
        <is>
          <t>Supplier, Bristol</t>
        </is>
      </c>
      <c r="E13" s="14" t="inlineStr">
        <is>
          <t>Stock inspection</t>
        </is>
      </c>
      <c r="F13" s="10" t="n">
        <v>380</v>
      </c>
      <c r="G13" s="14" t="inlineStr">
        <is>
          <t>Car or van</t>
        </is>
      </c>
      <c r="H13" s="10" t="n"/>
      <c r="I13" s="15">
        <f>IF(G13&lt;&gt;"Car or van","",SUMIFS($F$12:F13,$G$12:G13,"Car or van"))</f>
        <v/>
      </c>
      <c r="J13" s="15">
        <f>IF(I13="","",MAX(0,MIN(I13,$E$6)-MIN(I13-F13,$E$6)))</f>
        <v/>
      </c>
      <c r="K13" s="15">
        <f>IF(I13="","",MAX(0,I13-MAX(I13-F13,$E$6)))</f>
        <v/>
      </c>
      <c r="L13" s="16">
        <f>IF(F13="","",IF(G13="Car or van",J13*$C$6+K13*$G$6,IF(G13="Motorcycle",F13*$I$6,IF(G13="Bicycle",F13*$K$6,0))))</f>
        <v/>
      </c>
      <c r="M13" s="16">
        <f>IF(F13="","",N(H13)*F13*$M$6)</f>
        <v/>
      </c>
      <c r="N13" s="17">
        <f>IF(F13="","",N(L13)+N(M13))</f>
        <v/>
      </c>
    </row>
    <row r="14" ht="17" customHeight="1">
      <c r="B14" s="13">
        <f>DATE(2026,2,11)</f>
        <v/>
      </c>
      <c r="C14" s="14" t="inlineStr">
        <is>
          <t>Office</t>
        </is>
      </c>
      <c r="D14" s="14" t="inlineStr">
        <is>
          <t>Client site, Newcastle</t>
        </is>
      </c>
      <c r="E14" s="14" t="inlineStr">
        <is>
          <t>Survey</t>
        </is>
      </c>
      <c r="F14" s="10" t="n">
        <v>450</v>
      </c>
      <c r="G14" s="14" t="inlineStr">
        <is>
          <t>Car or van</t>
        </is>
      </c>
      <c r="H14" s="10" t="n"/>
      <c r="I14" s="15">
        <f>IF(G14&lt;&gt;"Car or van","",SUMIFS($F$12:F14,$G$12:G14,"Car or van"))</f>
        <v/>
      </c>
      <c r="J14" s="15">
        <f>IF(I14="","",MAX(0,MIN(I14,$E$6)-MIN(I14-F14,$E$6)))</f>
        <v/>
      </c>
      <c r="K14" s="15">
        <f>IF(I14="","",MAX(0,I14-MAX(I14-F14,$E$6)))</f>
        <v/>
      </c>
      <c r="L14" s="16">
        <f>IF(F14="","",IF(G14="Car or van",J14*$C$6+K14*$G$6,IF(G14="Motorcycle",F14*$I$6,IF(G14="Bicycle",F14*$K$6,0))))</f>
        <v/>
      </c>
      <c r="M14" s="16">
        <f>IF(F14="","",N(H14)*F14*$M$6)</f>
        <v/>
      </c>
      <c r="N14" s="17">
        <f>IF(F14="","",N(L14)+N(M14))</f>
        <v/>
      </c>
    </row>
    <row r="15" ht="17" customHeight="1">
      <c r="B15" s="13">
        <f>DATE(2026,2,24)</f>
        <v/>
      </c>
      <c r="C15" s="14" t="inlineStr">
        <is>
          <t>Office</t>
        </is>
      </c>
      <c r="D15" s="14" t="inlineStr">
        <is>
          <t>Trade show, Birmingham</t>
        </is>
      </c>
      <c r="E15" s="14" t="inlineStr">
        <is>
          <t>Exhibiting</t>
        </is>
      </c>
      <c r="F15" s="10" t="n">
        <v>510</v>
      </c>
      <c r="G15" s="14" t="inlineStr">
        <is>
          <t>Car or van</t>
        </is>
      </c>
      <c r="H15" s="10" t="n"/>
      <c r="I15" s="15">
        <f>IF(G15&lt;&gt;"Car or van","",SUMIFS($F$12:F15,$G$12:G15,"Car or van"))</f>
        <v/>
      </c>
      <c r="J15" s="15">
        <f>IF(I15="","",MAX(0,MIN(I15,$E$6)-MIN(I15-F15,$E$6)))</f>
        <v/>
      </c>
      <c r="K15" s="15">
        <f>IF(I15="","",MAX(0,I15-MAX(I15-F15,$E$6)))</f>
        <v/>
      </c>
      <c r="L15" s="16">
        <f>IF(F15="","",IF(G15="Car or van",J15*$C$6+K15*$G$6,IF(G15="Motorcycle",F15*$I$6,IF(G15="Bicycle",F15*$K$6,0))))</f>
        <v/>
      </c>
      <c r="M15" s="16">
        <f>IF(F15="","",N(H15)*F15*$M$6)</f>
        <v/>
      </c>
      <c r="N15" s="17">
        <f>IF(F15="","",N(L15)+N(M15))</f>
        <v/>
      </c>
    </row>
    <row r="16" ht="17" customHeight="1">
      <c r="B16" s="13">
        <f>DATE(2026,3,10)</f>
        <v/>
      </c>
      <c r="C16" s="14" t="inlineStr">
        <is>
          <t>Office</t>
        </is>
      </c>
      <c r="D16" s="14" t="inlineStr">
        <is>
          <t>Client site, Norwich</t>
        </is>
      </c>
      <c r="E16" s="14" t="inlineStr">
        <is>
          <t>Follow-up</t>
        </is>
      </c>
      <c r="F16" s="10" t="n">
        <v>390</v>
      </c>
      <c r="G16" s="14" t="inlineStr">
        <is>
          <t>Car or van</t>
        </is>
      </c>
      <c r="H16" s="10" t="n"/>
      <c r="I16" s="15">
        <f>IF(G16&lt;&gt;"Car or van","",SUMIFS($F$12:F16,$G$12:G16,"Car or van"))</f>
        <v/>
      </c>
      <c r="J16" s="15">
        <f>IF(I16="","",MAX(0,MIN(I16,$E$6)-MIN(I16-F16,$E$6)))</f>
        <v/>
      </c>
      <c r="K16" s="15">
        <f>IF(I16="","",MAX(0,I16-MAX(I16-F16,$E$6)))</f>
        <v/>
      </c>
      <c r="L16" s="16">
        <f>IF(F16="","",IF(G16="Car or van",J16*$C$6+K16*$G$6,IF(G16="Motorcycle",F16*$I$6,IF(G16="Bicycle",F16*$K$6,0))))</f>
        <v/>
      </c>
      <c r="M16" s="16">
        <f>IF(F16="","",N(H16)*F16*$M$6)</f>
        <v/>
      </c>
      <c r="N16" s="17">
        <f>IF(F16="","",N(L16)+N(M16))</f>
        <v/>
      </c>
    </row>
    <row r="17" ht="17" customHeight="1">
      <c r="B17" s="13">
        <f>DATE(2026,3,25)</f>
        <v/>
      </c>
      <c r="C17" s="14" t="inlineStr">
        <is>
          <t>Office</t>
        </is>
      </c>
      <c r="D17" s="14" t="inlineStr">
        <is>
          <t>Client site, Cardiff</t>
        </is>
      </c>
      <c r="E17" s="14" t="inlineStr">
        <is>
          <t>Install visit</t>
        </is>
      </c>
      <c r="F17" s="10" t="n">
        <v>460</v>
      </c>
      <c r="G17" s="14" t="inlineStr">
        <is>
          <t>Car or van</t>
        </is>
      </c>
      <c r="H17" s="10" t="n"/>
      <c r="I17" s="15">
        <f>IF(G17&lt;&gt;"Car or van","",SUMIFS($F$12:F17,$G$12:G17,"Car or van"))</f>
        <v/>
      </c>
      <c r="J17" s="15">
        <f>IF(I17="","",MAX(0,MIN(I17,$E$6)-MIN(I17-F17,$E$6)))</f>
        <v/>
      </c>
      <c r="K17" s="15">
        <f>IF(I17="","",MAX(0,I17-MAX(I17-F17,$E$6)))</f>
        <v/>
      </c>
      <c r="L17" s="16">
        <f>IF(F17="","",IF(G17="Car or van",J17*$C$6+K17*$G$6,IF(G17="Motorcycle",F17*$I$6,IF(G17="Bicycle",F17*$K$6,0))))</f>
        <v/>
      </c>
      <c r="M17" s="16">
        <f>IF(F17="","",N(H17)*F17*$M$6)</f>
        <v/>
      </c>
      <c r="N17" s="17">
        <f>IF(F17="","",N(L17)+N(M17))</f>
        <v/>
      </c>
    </row>
    <row r="18" ht="17" customHeight="1">
      <c r="B18" s="13">
        <f>DATE(2026,4,9)</f>
        <v/>
      </c>
      <c r="C18" s="14" t="inlineStr">
        <is>
          <t>Office</t>
        </is>
      </c>
      <c r="D18" s="14" t="inlineStr">
        <is>
          <t>Client site, Glasgow</t>
        </is>
      </c>
      <c r="E18" s="14" t="inlineStr">
        <is>
          <t>Survey</t>
        </is>
      </c>
      <c r="F18" s="10" t="n">
        <v>520</v>
      </c>
      <c r="G18" s="14" t="inlineStr">
        <is>
          <t>Car or van</t>
        </is>
      </c>
      <c r="H18" s="10" t="n"/>
      <c r="I18" s="15">
        <f>IF(G18&lt;&gt;"Car or van","",SUMIFS($F$12:F18,$G$12:G18,"Car or van"))</f>
        <v/>
      </c>
      <c r="J18" s="15">
        <f>IF(I18="","",MAX(0,MIN(I18,$E$6)-MIN(I18-F18,$E$6)))</f>
        <v/>
      </c>
      <c r="K18" s="15">
        <f>IF(I18="","",MAX(0,I18-MAX(I18-F18,$E$6)))</f>
        <v/>
      </c>
      <c r="L18" s="16">
        <f>IF(F18="","",IF(G18="Car or van",J18*$C$6+K18*$G$6,IF(G18="Motorcycle",F18*$I$6,IF(G18="Bicycle",F18*$K$6,0))))</f>
        <v/>
      </c>
      <c r="M18" s="16">
        <f>IF(F18="","",N(H18)*F18*$M$6)</f>
        <v/>
      </c>
      <c r="N18" s="17">
        <f>IF(F18="","",N(L18)+N(M18))</f>
        <v/>
      </c>
    </row>
    <row r="19" ht="17" customHeight="1">
      <c r="B19" s="13">
        <f>DATE(2026,4,22)</f>
        <v/>
      </c>
      <c r="C19" s="14" t="inlineStr">
        <is>
          <t>Office</t>
        </is>
      </c>
      <c r="D19" s="14" t="inlineStr">
        <is>
          <t>Supplier, Manchester</t>
        </is>
      </c>
      <c r="E19" s="14" t="inlineStr">
        <is>
          <t>Stock collection</t>
        </is>
      </c>
      <c r="F19" s="10" t="n">
        <v>400</v>
      </c>
      <c r="G19" s="14" t="inlineStr">
        <is>
          <t>Car or van</t>
        </is>
      </c>
      <c r="H19" s="10" t="n"/>
      <c r="I19" s="15">
        <f>IF(G19&lt;&gt;"Car or van","",SUMIFS($F$12:F19,$G$12:G19,"Car or van"))</f>
        <v/>
      </c>
      <c r="J19" s="15">
        <f>IF(I19="","",MAX(0,MIN(I19,$E$6)-MIN(I19-F19,$E$6)))</f>
        <v/>
      </c>
      <c r="K19" s="15">
        <f>IF(I19="","",MAX(0,I19-MAX(I19-F19,$E$6)))</f>
        <v/>
      </c>
      <c r="L19" s="16">
        <f>IF(F19="","",IF(G19="Car or van",J19*$C$6+K19*$G$6,IF(G19="Motorcycle",F19*$I$6,IF(G19="Bicycle",F19*$K$6,0))))</f>
        <v/>
      </c>
      <c r="M19" s="16">
        <f>IF(F19="","",N(H19)*F19*$M$6)</f>
        <v/>
      </c>
      <c r="N19" s="17">
        <f>IF(F19="","",N(L19)+N(M19))</f>
        <v/>
      </c>
    </row>
    <row r="20" ht="17" customHeight="1">
      <c r="B20" s="13">
        <f>DATE(2026,5,13)</f>
        <v/>
      </c>
      <c r="C20" s="14" t="inlineStr">
        <is>
          <t>Office</t>
        </is>
      </c>
      <c r="D20" s="14" t="inlineStr">
        <is>
          <t>Client site, Exeter</t>
        </is>
      </c>
      <c r="E20" s="14" t="inlineStr">
        <is>
          <t>Install visit</t>
        </is>
      </c>
      <c r="F20" s="10" t="n">
        <v>480</v>
      </c>
      <c r="G20" s="14" t="inlineStr">
        <is>
          <t>Car or van</t>
        </is>
      </c>
      <c r="H20" s="10" t="n"/>
      <c r="I20" s="15">
        <f>IF(G20&lt;&gt;"Car or van","",SUMIFS($F$12:F20,$G$12:G20,"Car or van"))</f>
        <v/>
      </c>
      <c r="J20" s="15">
        <f>IF(I20="","",MAX(0,MIN(I20,$E$6)-MIN(I20-F20,$E$6)))</f>
        <v/>
      </c>
      <c r="K20" s="15">
        <f>IF(I20="","",MAX(0,I20-MAX(I20-F20,$E$6)))</f>
        <v/>
      </c>
      <c r="L20" s="16">
        <f>IF(F20="","",IF(G20="Car or van",J20*$C$6+K20*$G$6,IF(G20="Motorcycle",F20*$I$6,IF(G20="Bicycle",F20*$K$6,0))))</f>
        <v/>
      </c>
      <c r="M20" s="16">
        <f>IF(F20="","",N(H20)*F20*$M$6)</f>
        <v/>
      </c>
      <c r="N20" s="17">
        <f>IF(F20="","",N(L20)+N(M20))</f>
        <v/>
      </c>
    </row>
    <row r="21" ht="17" customHeight="1">
      <c r="B21" s="13">
        <f>DATE(2026,5,26)</f>
        <v/>
      </c>
      <c r="C21" s="14" t="inlineStr">
        <is>
          <t>Office</t>
        </is>
      </c>
      <c r="D21" s="14" t="inlineStr">
        <is>
          <t>Client site, Sheffield</t>
        </is>
      </c>
      <c r="E21" s="14" t="inlineStr">
        <is>
          <t>Follow-up</t>
        </is>
      </c>
      <c r="F21" s="10" t="n">
        <v>430</v>
      </c>
      <c r="G21" s="14" t="inlineStr">
        <is>
          <t>Car or van</t>
        </is>
      </c>
      <c r="H21" s="10" t="n"/>
      <c r="I21" s="15">
        <f>IF(G21&lt;&gt;"Car or van","",SUMIFS($F$12:F21,$G$12:G21,"Car or van"))</f>
        <v/>
      </c>
      <c r="J21" s="15">
        <f>IF(I21="","",MAX(0,MIN(I21,$E$6)-MIN(I21-F21,$E$6)))</f>
        <v/>
      </c>
      <c r="K21" s="15">
        <f>IF(I21="","",MAX(0,I21-MAX(I21-F21,$E$6)))</f>
        <v/>
      </c>
      <c r="L21" s="16">
        <f>IF(F21="","",IF(G21="Car or van",J21*$C$6+K21*$G$6,IF(G21="Motorcycle",F21*$I$6,IF(G21="Bicycle",F21*$K$6,0))))</f>
        <v/>
      </c>
      <c r="M21" s="16">
        <f>IF(F21="","",N(H21)*F21*$M$6)</f>
        <v/>
      </c>
      <c r="N21" s="17">
        <f>IF(F21="","",N(L21)+N(M21))</f>
        <v/>
      </c>
    </row>
    <row r="22" ht="17" customHeight="1">
      <c r="B22" s="13">
        <f>DATE(2026,6,10)</f>
        <v/>
      </c>
      <c r="C22" s="14" t="inlineStr">
        <is>
          <t>Office</t>
        </is>
      </c>
      <c r="D22" s="14" t="inlineStr">
        <is>
          <t>Client site, Liverpool</t>
        </is>
      </c>
      <c r="E22" s="14" t="inlineStr">
        <is>
          <t>Survey</t>
        </is>
      </c>
      <c r="F22" s="10" t="n">
        <v>440</v>
      </c>
      <c r="G22" s="14" t="inlineStr">
        <is>
          <t>Car or van</t>
        </is>
      </c>
      <c r="H22" s="10" t="n"/>
      <c r="I22" s="15">
        <f>IF(G22&lt;&gt;"Car or van","",SUMIFS($F$12:F22,$G$12:G22,"Car or van"))</f>
        <v/>
      </c>
      <c r="J22" s="15">
        <f>IF(I22="","",MAX(0,MIN(I22,$E$6)-MIN(I22-F22,$E$6)))</f>
        <v/>
      </c>
      <c r="K22" s="15">
        <f>IF(I22="","",MAX(0,I22-MAX(I22-F22,$E$6)))</f>
        <v/>
      </c>
      <c r="L22" s="16">
        <f>IF(F22="","",IF(G22="Car or van",J22*$C$6+K22*$G$6,IF(G22="Motorcycle",F22*$I$6,IF(G22="Bicycle",F22*$K$6,0))))</f>
        <v/>
      </c>
      <c r="M22" s="16">
        <f>IF(F22="","",N(H22)*F22*$M$6)</f>
        <v/>
      </c>
      <c r="N22" s="17">
        <f>IF(F22="","",N(L22)+N(M22))</f>
        <v/>
      </c>
    </row>
    <row r="23" ht="17" customHeight="1">
      <c r="B23" s="13">
        <f>DATE(2026,6,23)</f>
        <v/>
      </c>
      <c r="C23" s="14" t="inlineStr">
        <is>
          <t>Office</t>
        </is>
      </c>
      <c r="D23" s="14" t="inlineStr">
        <is>
          <t>Conference, London</t>
        </is>
      </c>
      <c r="E23" s="14" t="inlineStr">
        <is>
          <t>Two of us travelling</t>
        </is>
      </c>
      <c r="F23" s="10" t="n">
        <v>550</v>
      </c>
      <c r="G23" s="14" t="inlineStr">
        <is>
          <t>Car or van</t>
        </is>
      </c>
      <c r="H23" s="10" t="n">
        <v>1</v>
      </c>
      <c r="I23" s="15">
        <f>IF(G23&lt;&gt;"Car or van","",SUMIFS($F$12:F23,$G$12:G23,"Car or van"))</f>
        <v/>
      </c>
      <c r="J23" s="15">
        <f>IF(I23="","",MAX(0,MIN(I23,$E$6)-MIN(I23-F23,$E$6)))</f>
        <v/>
      </c>
      <c r="K23" s="15">
        <f>IF(I23="","",MAX(0,I23-MAX(I23-F23,$E$6)))</f>
        <v/>
      </c>
      <c r="L23" s="16">
        <f>IF(F23="","",IF(G23="Car or van",J23*$C$6+K23*$G$6,IF(G23="Motorcycle",F23*$I$6,IF(G23="Bicycle",F23*$K$6,0))))</f>
        <v/>
      </c>
      <c r="M23" s="16">
        <f>IF(F23="","",N(H23)*F23*$M$6)</f>
        <v/>
      </c>
      <c r="N23" s="17">
        <f>IF(F23="","",N(L23)+N(M23))</f>
        <v/>
      </c>
    </row>
    <row r="24" ht="17" customHeight="1">
      <c r="B24" s="13">
        <f>DATE(2026,7,8)</f>
        <v/>
      </c>
      <c r="C24" s="14" t="inlineStr">
        <is>
          <t>Office</t>
        </is>
      </c>
      <c r="D24" s="14" t="inlineStr">
        <is>
          <t>Client site, Nottingham</t>
        </is>
      </c>
      <c r="E24" s="14" t="inlineStr">
        <is>
          <t>Install visit</t>
        </is>
      </c>
      <c r="F24" s="10" t="n">
        <v>500</v>
      </c>
      <c r="G24" s="14" t="inlineStr">
        <is>
          <t>Car or van</t>
        </is>
      </c>
      <c r="H24" s="10" t="n"/>
      <c r="I24" s="15">
        <f>IF(G24&lt;&gt;"Car or van","",SUMIFS($F$12:F24,$G$12:G24,"Car or van"))</f>
        <v/>
      </c>
      <c r="J24" s="15">
        <f>IF(I24="","",MAX(0,MIN(I24,$E$6)-MIN(I24-F24,$E$6)))</f>
        <v/>
      </c>
      <c r="K24" s="15">
        <f>IF(I24="","",MAX(0,I24-MAX(I24-F24,$E$6)))</f>
        <v/>
      </c>
      <c r="L24" s="16">
        <f>IF(F24="","",IF(G24="Car or van",J24*$C$6+K24*$G$6,IF(G24="Motorcycle",F24*$I$6,IF(G24="Bicycle",F24*$K$6,0))))</f>
        <v/>
      </c>
      <c r="M24" s="16">
        <f>IF(F24="","",N(H24)*F24*$M$6)</f>
        <v/>
      </c>
      <c r="N24" s="17">
        <f>IF(F24="","",N(L24)+N(M24))</f>
        <v/>
      </c>
    </row>
    <row r="25" ht="17" customHeight="1">
      <c r="B25" s="13">
        <f>DATE(2026,7,21)</f>
        <v/>
      </c>
      <c r="C25" s="14" t="inlineStr">
        <is>
          <t>Office</t>
        </is>
      </c>
      <c r="D25" s="14" t="inlineStr">
        <is>
          <t>Supplier, Coventry</t>
        </is>
      </c>
      <c r="E25" s="14" t="inlineStr">
        <is>
          <t>Stock inspection</t>
        </is>
      </c>
      <c r="F25" s="10" t="n">
        <v>470</v>
      </c>
      <c r="G25" s="14" t="inlineStr">
        <is>
          <t>Car or van</t>
        </is>
      </c>
      <c r="H25" s="10" t="n"/>
      <c r="I25" s="15">
        <f>IF(G25&lt;&gt;"Car or van","",SUMIFS($F$12:F25,$G$12:G25,"Car or van"))</f>
        <v/>
      </c>
      <c r="J25" s="15">
        <f>IF(I25="","",MAX(0,MIN(I25,$E$6)-MIN(I25-F25,$E$6)))</f>
        <v/>
      </c>
      <c r="K25" s="15">
        <f>IF(I25="","",MAX(0,I25-MAX(I25-F25,$E$6)))</f>
        <v/>
      </c>
      <c r="L25" s="16">
        <f>IF(F25="","",IF(G25="Car or van",J25*$C$6+K25*$G$6,IF(G25="Motorcycle",F25*$I$6,IF(G25="Bicycle",F25*$K$6,0))))</f>
        <v/>
      </c>
      <c r="M25" s="16">
        <f>IF(F25="","",N(H25)*F25*$M$6)</f>
        <v/>
      </c>
      <c r="N25" s="17">
        <f>IF(F25="","",N(L25)+N(M25))</f>
        <v/>
      </c>
    </row>
    <row r="26" ht="17" customHeight="1">
      <c r="B26" s="13">
        <f>DATE(2026,8,12)</f>
        <v/>
      </c>
      <c r="C26" s="14" t="inlineStr">
        <is>
          <t>Office</t>
        </is>
      </c>
      <c r="D26" s="14" t="inlineStr">
        <is>
          <t>Client site, Oxford</t>
        </is>
      </c>
      <c r="E26" s="14" t="inlineStr">
        <is>
          <t>Follow-up</t>
        </is>
      </c>
      <c r="F26" s="10" t="n">
        <v>360</v>
      </c>
      <c r="G26" s="14" t="inlineStr">
        <is>
          <t>Car or van</t>
        </is>
      </c>
      <c r="H26" s="10" t="n"/>
      <c r="I26" s="15">
        <f>IF(G26&lt;&gt;"Car or van","",SUMIFS($F$12:F26,$G$12:G26,"Car or van"))</f>
        <v/>
      </c>
      <c r="J26" s="15">
        <f>IF(I26="","",MAX(0,MIN(I26,$E$6)-MIN(I26-F26,$E$6)))</f>
        <v/>
      </c>
      <c r="K26" s="15">
        <f>IF(I26="","",MAX(0,I26-MAX(I26-F26,$E$6)))</f>
        <v/>
      </c>
      <c r="L26" s="16">
        <f>IF(F26="","",IF(G26="Car or van",J26*$C$6+K26*$G$6,IF(G26="Motorcycle",F26*$I$6,IF(G26="Bicycle",F26*$K$6,0))))</f>
        <v/>
      </c>
      <c r="M26" s="16">
        <f>IF(F26="","",N(H26)*F26*$M$6)</f>
        <v/>
      </c>
      <c r="N26" s="17">
        <f>IF(F26="","",N(L26)+N(M26))</f>
        <v/>
      </c>
    </row>
    <row r="27" ht="17" customHeight="1">
      <c r="B27" s="13">
        <f>DATE(2026,8,26)</f>
        <v/>
      </c>
      <c r="C27" s="14" t="inlineStr">
        <is>
          <t>Office</t>
        </is>
      </c>
      <c r="D27" s="14" t="inlineStr">
        <is>
          <t>Client site, Southampton</t>
        </is>
      </c>
      <c r="E27" s="14" t="inlineStr">
        <is>
          <t>Survey</t>
        </is>
      </c>
      <c r="F27" s="10" t="n">
        <v>410</v>
      </c>
      <c r="G27" s="14" t="inlineStr">
        <is>
          <t>Car or van</t>
        </is>
      </c>
      <c r="H27" s="10" t="n"/>
      <c r="I27" s="15">
        <f>IF(G27&lt;&gt;"Car or van","",SUMIFS($F$12:F27,$G$12:G27,"Car or van"))</f>
        <v/>
      </c>
      <c r="J27" s="15">
        <f>IF(I27="","",MAX(0,MIN(I27,$E$6)-MIN(I27-F27,$E$6)))</f>
        <v/>
      </c>
      <c r="K27" s="15">
        <f>IF(I27="","",MAX(0,I27-MAX(I27-F27,$E$6)))</f>
        <v/>
      </c>
      <c r="L27" s="16">
        <f>IF(F27="","",IF(G27="Car or van",J27*$C$6+K27*$G$6,IF(G27="Motorcycle",F27*$I$6,IF(G27="Bicycle",F27*$K$6,0))))</f>
        <v/>
      </c>
      <c r="M27" s="16">
        <f>IF(F27="","",N(H27)*F27*$M$6)</f>
        <v/>
      </c>
      <c r="N27" s="17">
        <f>IF(F27="","",N(L27)+N(M27))</f>
        <v/>
      </c>
    </row>
    <row r="28" ht="17" customHeight="1">
      <c r="B28" s="13">
        <f>DATE(2026,9,9)</f>
        <v/>
      </c>
      <c r="C28" s="14" t="inlineStr">
        <is>
          <t>Office</t>
        </is>
      </c>
      <c r="D28" s="14" t="inlineStr">
        <is>
          <t>Client site, Edinburgh</t>
        </is>
      </c>
      <c r="E28" s="14" t="inlineStr">
        <is>
          <t>Install visit</t>
        </is>
      </c>
      <c r="F28" s="10" t="n">
        <v>490</v>
      </c>
      <c r="G28" s="14" t="inlineStr">
        <is>
          <t>Car or van</t>
        </is>
      </c>
      <c r="H28" s="10" t="n"/>
      <c r="I28" s="15">
        <f>IF(G28&lt;&gt;"Car or van","",SUMIFS($F$12:F28,$G$12:G28,"Car or van"))</f>
        <v/>
      </c>
      <c r="J28" s="15">
        <f>IF(I28="","",MAX(0,MIN(I28,$E$6)-MIN(I28-F28,$E$6)))</f>
        <v/>
      </c>
      <c r="K28" s="15">
        <f>IF(I28="","",MAX(0,I28-MAX(I28-F28,$E$6)))</f>
        <v/>
      </c>
      <c r="L28" s="16">
        <f>IF(F28="","",IF(G28="Car or van",J28*$C$6+K28*$G$6,IF(G28="Motorcycle",F28*$I$6,IF(G28="Bicycle",F28*$K$6,0))))</f>
        <v/>
      </c>
      <c r="M28" s="16">
        <f>IF(F28="","",N(H28)*F28*$M$6)</f>
        <v/>
      </c>
      <c r="N28" s="17">
        <f>IF(F28="","",N(L28)+N(M28))</f>
        <v/>
      </c>
    </row>
    <row r="29" ht="17" customHeight="1">
      <c r="B29" s="13">
        <f>DATE(2026,9,24)</f>
        <v/>
      </c>
      <c r="C29" s="14" t="inlineStr">
        <is>
          <t>Office</t>
        </is>
      </c>
      <c r="D29" s="14" t="inlineStr">
        <is>
          <t>Trade show, Harrogate</t>
        </is>
      </c>
      <c r="E29" s="14" t="inlineStr">
        <is>
          <t>Two of us travelling</t>
        </is>
      </c>
      <c r="F29" s="10" t="n">
        <v>520</v>
      </c>
      <c r="G29" s="14" t="inlineStr">
        <is>
          <t>Car or van</t>
        </is>
      </c>
      <c r="H29" s="10" t="n">
        <v>1</v>
      </c>
      <c r="I29" s="15">
        <f>IF(G29&lt;&gt;"Car or van","",SUMIFS($F$12:F29,$G$12:G29,"Car or van"))</f>
        <v/>
      </c>
      <c r="J29" s="15">
        <f>IF(I29="","",MAX(0,MIN(I29,$E$6)-MIN(I29-F29,$E$6)))</f>
        <v/>
      </c>
      <c r="K29" s="15">
        <f>IF(I29="","",MAX(0,I29-MAX(I29-F29,$E$6)))</f>
        <v/>
      </c>
      <c r="L29" s="16">
        <f>IF(F29="","",IF(G29="Car or van",J29*$C$6+K29*$G$6,IF(G29="Motorcycle",F29*$I$6,IF(G29="Bicycle",F29*$K$6,0))))</f>
        <v/>
      </c>
      <c r="M29" s="16">
        <f>IF(F29="","",N(H29)*F29*$M$6)</f>
        <v/>
      </c>
      <c r="N29" s="17">
        <f>IF(F29="","",N(L29)+N(M29))</f>
        <v/>
      </c>
    </row>
    <row r="30" ht="17" customHeight="1">
      <c r="B30" s="13">
        <f>DATE(2026,10,14)</f>
        <v/>
      </c>
      <c r="C30" s="14" t="inlineStr">
        <is>
          <t>Office</t>
        </is>
      </c>
      <c r="D30" s="14" t="inlineStr">
        <is>
          <t>Client site, Plymouth</t>
        </is>
      </c>
      <c r="E30" s="14" t="inlineStr">
        <is>
          <t>Survey</t>
        </is>
      </c>
      <c r="F30" s="10" t="n">
        <v>530</v>
      </c>
      <c r="G30" s="14" t="inlineStr">
        <is>
          <t>Car or van</t>
        </is>
      </c>
      <c r="H30" s="10" t="n"/>
      <c r="I30" s="15">
        <f>IF(G30&lt;&gt;"Car or van","",SUMIFS($F$12:F30,$G$12:G30,"Car or van"))</f>
        <v/>
      </c>
      <c r="J30" s="15">
        <f>IF(I30="","",MAX(0,MIN(I30,$E$6)-MIN(I30-F30,$E$6)))</f>
        <v/>
      </c>
      <c r="K30" s="15">
        <f>IF(I30="","",MAX(0,I30-MAX(I30-F30,$E$6)))</f>
        <v/>
      </c>
      <c r="L30" s="16">
        <f>IF(F30="","",IF(G30="Car or van",J30*$C$6+K30*$G$6,IF(G30="Motorcycle",F30*$I$6,IF(G30="Bicycle",F30*$K$6,0))))</f>
        <v/>
      </c>
      <c r="M30" s="16">
        <f>IF(F30="","",N(H30)*F30*$M$6)</f>
        <v/>
      </c>
      <c r="N30" s="17">
        <f>IF(F30="","",N(L30)+N(M30))</f>
        <v/>
      </c>
    </row>
    <row r="31" ht="17" customHeight="1">
      <c r="B31" s="13">
        <f>DATE(2026,10,28)</f>
        <v/>
      </c>
      <c r="C31" s="14" t="inlineStr">
        <is>
          <t>Office</t>
        </is>
      </c>
      <c r="D31" s="14" t="inlineStr">
        <is>
          <t>Supplier, Derby</t>
        </is>
      </c>
      <c r="E31" s="14" t="inlineStr">
        <is>
          <t>Stock collection</t>
        </is>
      </c>
      <c r="F31" s="10" t="n">
        <v>450</v>
      </c>
      <c r="G31" s="14" t="inlineStr">
        <is>
          <t>Car or van</t>
        </is>
      </c>
      <c r="H31" s="10" t="n"/>
      <c r="I31" s="15">
        <f>IF(G31&lt;&gt;"Car or van","",SUMIFS($F$12:F31,$G$12:G31,"Car or van"))</f>
        <v/>
      </c>
      <c r="J31" s="15">
        <f>IF(I31="","",MAX(0,MIN(I31,$E$6)-MIN(I31-F31,$E$6)))</f>
        <v/>
      </c>
      <c r="K31" s="15">
        <f>IF(I31="","",MAX(0,I31-MAX(I31-F31,$E$6)))</f>
        <v/>
      </c>
      <c r="L31" s="16">
        <f>IF(F31="","",IF(G31="Car or van",J31*$C$6+K31*$G$6,IF(G31="Motorcycle",F31*$I$6,IF(G31="Bicycle",F31*$K$6,0))))</f>
        <v/>
      </c>
      <c r="M31" s="16">
        <f>IF(F31="","",N(H31)*F31*$M$6)</f>
        <v/>
      </c>
      <c r="N31" s="17">
        <f>IF(F31="","",N(L31)+N(M31))</f>
        <v/>
      </c>
    </row>
    <row r="32" ht="17" customHeight="1">
      <c r="B32" s="13">
        <f>DATE(2026,11,11)</f>
        <v/>
      </c>
      <c r="C32" s="14" t="inlineStr">
        <is>
          <t>Office</t>
        </is>
      </c>
      <c r="D32" s="14" t="inlineStr">
        <is>
          <t>Client site, Hull</t>
        </is>
      </c>
      <c r="E32" s="14" t="inlineStr">
        <is>
          <t>Install visit</t>
        </is>
      </c>
      <c r="F32" s="10" t="n">
        <v>470</v>
      </c>
      <c r="G32" s="14" t="inlineStr">
        <is>
          <t>Car or van</t>
        </is>
      </c>
      <c r="H32" s="10" t="n"/>
      <c r="I32" s="15">
        <f>IF(G32&lt;&gt;"Car or van","",SUMIFS($F$12:F32,$G$12:G32,"Car or van"))</f>
        <v/>
      </c>
      <c r="J32" s="15">
        <f>IF(I32="","",MAX(0,MIN(I32,$E$6)-MIN(I32-F32,$E$6)))</f>
        <v/>
      </c>
      <c r="K32" s="15">
        <f>IF(I32="","",MAX(0,I32-MAX(I32-F32,$E$6)))</f>
        <v/>
      </c>
      <c r="L32" s="16">
        <f>IF(F32="","",IF(G32="Car or van",J32*$C$6+K32*$G$6,IF(G32="Motorcycle",F32*$I$6,IF(G32="Bicycle",F32*$K$6,0))))</f>
        <v/>
      </c>
      <c r="M32" s="16">
        <f>IF(F32="","",N(H32)*F32*$M$6)</f>
        <v/>
      </c>
      <c r="N32" s="17">
        <f>IF(F32="","",N(L32)+N(M32))</f>
        <v/>
      </c>
    </row>
    <row r="33" ht="17" customHeight="1">
      <c r="B33" s="13">
        <f>DATE(2026,11,25)</f>
        <v/>
      </c>
      <c r="C33" s="14" t="inlineStr">
        <is>
          <t>Office</t>
        </is>
      </c>
      <c r="D33" s="14" t="inlineStr">
        <is>
          <t>Client site, Swansea</t>
        </is>
      </c>
      <c r="E33" s="14" t="inlineStr">
        <is>
          <t>Follow-up</t>
        </is>
      </c>
      <c r="F33" s="10" t="n">
        <v>480</v>
      </c>
      <c r="G33" s="14" t="inlineStr">
        <is>
          <t>Car or van</t>
        </is>
      </c>
      <c r="H33" s="10" t="n"/>
      <c r="I33" s="15">
        <f>IF(G33&lt;&gt;"Car or van","",SUMIFS($F$12:F33,$G$12:G33,"Car or van"))</f>
        <v/>
      </c>
      <c r="J33" s="15">
        <f>IF(I33="","",MAX(0,MIN(I33,$E$6)-MIN(I33-F33,$E$6)))</f>
        <v/>
      </c>
      <c r="K33" s="15">
        <f>IF(I33="","",MAX(0,I33-MAX(I33-F33,$E$6)))</f>
        <v/>
      </c>
      <c r="L33" s="16">
        <f>IF(F33="","",IF(G33="Car or van",J33*$C$6+K33*$G$6,IF(G33="Motorcycle",F33*$I$6,IF(G33="Bicycle",F33*$K$6,0))))</f>
        <v/>
      </c>
      <c r="M33" s="16">
        <f>IF(F33="","",N(H33)*F33*$M$6)</f>
        <v/>
      </c>
      <c r="N33" s="17">
        <f>IF(F33="","",N(L33)+N(M33))</f>
        <v/>
      </c>
    </row>
    <row r="34" ht="17" customHeight="1">
      <c r="B34" s="13">
        <f>DATE(2026,12,9)</f>
        <v/>
      </c>
      <c r="C34" s="14" t="inlineStr">
        <is>
          <t>Office</t>
        </is>
      </c>
      <c r="D34" s="14" t="inlineStr">
        <is>
          <t>Client site, Reading</t>
        </is>
      </c>
      <c r="E34" s="14" t="inlineStr">
        <is>
          <t>Survey</t>
        </is>
      </c>
      <c r="F34" s="10" t="n">
        <v>420</v>
      </c>
      <c r="G34" s="14" t="inlineStr">
        <is>
          <t>Car or van</t>
        </is>
      </c>
      <c r="H34" s="10" t="n"/>
      <c r="I34" s="15">
        <f>IF(G34&lt;&gt;"Car or van","",SUMIFS($F$12:F34,$G$12:G34,"Car or van"))</f>
        <v/>
      </c>
      <c r="J34" s="15">
        <f>IF(I34="","",MAX(0,MIN(I34,$E$6)-MIN(I34-F34,$E$6)))</f>
        <v/>
      </c>
      <c r="K34" s="15">
        <f>IF(I34="","",MAX(0,I34-MAX(I34-F34,$E$6)))</f>
        <v/>
      </c>
      <c r="L34" s="16">
        <f>IF(F34="","",IF(G34="Car or van",J34*$C$6+K34*$G$6,IF(G34="Motorcycle",F34*$I$6,IF(G34="Bicycle",F34*$K$6,0))))</f>
        <v/>
      </c>
      <c r="M34" s="16">
        <f>IF(F34="","",N(H34)*F34*$M$6)</f>
        <v/>
      </c>
      <c r="N34" s="17">
        <f>IF(F34="","",N(L34)+N(M34))</f>
        <v/>
      </c>
    </row>
    <row r="35" ht="17" customHeight="1">
      <c r="B35" s="13">
        <f>DATE(2026,12,16)</f>
        <v/>
      </c>
      <c r="C35" s="14" t="inlineStr">
        <is>
          <t>Office</t>
        </is>
      </c>
      <c r="D35" s="14" t="inlineStr">
        <is>
          <t>Supplier, Luton</t>
        </is>
      </c>
      <c r="E35" s="14" t="inlineStr">
        <is>
          <t>Year-end stock check</t>
        </is>
      </c>
      <c r="F35" s="10" t="n">
        <v>390</v>
      </c>
      <c r="G35" s="14" t="inlineStr">
        <is>
          <t>Car or van</t>
        </is>
      </c>
      <c r="H35" s="10" t="n"/>
      <c r="I35" s="15">
        <f>IF(G35&lt;&gt;"Car or van","",SUMIFS($F$12:F35,$G$12:G35,"Car or van"))</f>
        <v/>
      </c>
      <c r="J35" s="15">
        <f>IF(I35="","",MAX(0,MIN(I35,$E$6)-MIN(I35-F35,$E$6)))</f>
        <v/>
      </c>
      <c r="K35" s="15">
        <f>IF(I35="","",MAX(0,I35-MAX(I35-F35,$E$6)))</f>
        <v/>
      </c>
      <c r="L35" s="16">
        <f>IF(F35="","",IF(G35="Car or van",J35*$C$6+K35*$G$6,IF(G35="Motorcycle",F35*$I$6,IF(G35="Bicycle",F35*$K$6,0))))</f>
        <v/>
      </c>
      <c r="M35" s="16">
        <f>IF(F35="","",N(H35)*F35*$M$6)</f>
        <v/>
      </c>
      <c r="N35" s="17">
        <f>IF(F35="","",N(L35)+N(M35))</f>
        <v/>
      </c>
    </row>
    <row r="36" ht="17" customHeight="1">
      <c r="B36" s="13">
        <f>DATE(2026,3,4)</f>
        <v/>
      </c>
      <c r="C36" s="14" t="inlineStr">
        <is>
          <t>Office</t>
        </is>
      </c>
      <c r="D36" s="14" t="inlineStr">
        <is>
          <t>Post office and bank</t>
        </is>
      </c>
      <c r="E36" s="14" t="inlineStr">
        <is>
          <t>Banking run</t>
        </is>
      </c>
      <c r="F36" s="10" t="n">
        <v>12</v>
      </c>
      <c r="G36" s="14" t="inlineStr">
        <is>
          <t>Bicycle</t>
        </is>
      </c>
      <c r="H36" s="10" t="n"/>
      <c r="I36" s="15">
        <f>IF(G36&lt;&gt;"Car or van","",SUMIFS($F$12:F36,$G$12:G36,"Car or van"))</f>
        <v/>
      </c>
      <c r="J36" s="15">
        <f>IF(I36="","",MAX(0,MIN(I36,$E$6)-MIN(I36-F36,$E$6)))</f>
        <v/>
      </c>
      <c r="K36" s="15">
        <f>IF(I36="","",MAX(0,I36-MAX(I36-F36,$E$6)))</f>
        <v/>
      </c>
      <c r="L36" s="16">
        <f>IF(F36="","",IF(G36="Car or van",J36*$C$6+K36*$G$6,IF(G36="Motorcycle",F36*$I$6,IF(G36="Bicycle",F36*$K$6,0))))</f>
        <v/>
      </c>
      <c r="M36" s="16">
        <f>IF(F36="","",N(H36)*F36*$M$6)</f>
        <v/>
      </c>
      <c r="N36" s="17">
        <f>IF(F36="","",N(L36)+N(M36))</f>
        <v/>
      </c>
    </row>
    <row r="37" ht="17" customHeight="1">
      <c r="B37" s="13">
        <f>DATE(2026,7,18)</f>
        <v/>
      </c>
      <c r="C37" s="14" t="inlineStr">
        <is>
          <t>Office</t>
        </is>
      </c>
      <c r="D37" s="14" t="inlineStr">
        <is>
          <t>Client, Colchester</t>
        </is>
      </c>
      <c r="E37" s="14" t="inlineStr">
        <is>
          <t>Quick site check</t>
        </is>
      </c>
      <c r="F37" s="10" t="n">
        <v>85</v>
      </c>
      <c r="G37" s="14" t="inlineStr">
        <is>
          <t>Motorcycle</t>
        </is>
      </c>
      <c r="H37" s="10" t="n"/>
      <c r="I37" s="15">
        <f>IF(G37&lt;&gt;"Car or van","",SUMIFS($F$12:F37,$G$12:G37,"Car or van"))</f>
        <v/>
      </c>
      <c r="J37" s="15">
        <f>IF(I37="","",MAX(0,MIN(I37,$E$6)-MIN(I37-F37,$E$6)))</f>
        <v/>
      </c>
      <c r="K37" s="15">
        <f>IF(I37="","",MAX(0,I37-MAX(I37-F37,$E$6)))</f>
        <v/>
      </c>
      <c r="L37" s="16">
        <f>IF(F37="","",IF(G37="Car or van",J37*$C$6+K37*$G$6,IF(G37="Motorcycle",F37*$I$6,IF(G37="Bicycle",F37*$K$6,0))))</f>
        <v/>
      </c>
      <c r="M37" s="16">
        <f>IF(F37="","",N(H37)*F37*$M$6)</f>
        <v/>
      </c>
      <c r="N37" s="17">
        <f>IF(F37="","",N(L37)+N(M37))</f>
        <v/>
      </c>
    </row>
    <row r="38" ht="17" customHeight="1">
      <c r="B38" s="13" t="n"/>
      <c r="C38" s="14" t="n"/>
      <c r="D38" s="14" t="n"/>
      <c r="E38" s="14" t="n"/>
      <c r="F38" s="10" t="n"/>
      <c r="G38" s="14" t="n"/>
      <c r="H38" s="10" t="n"/>
      <c r="I38" s="15">
        <f>IF(G38&lt;&gt;"Car or van","",SUMIFS($F$12:F38,$G$12:G38,"Car or van"))</f>
        <v/>
      </c>
      <c r="J38" s="15">
        <f>IF(I38="","",MAX(0,MIN(I38,$E$6)-MIN(I38-F38,$E$6)))</f>
        <v/>
      </c>
      <c r="K38" s="15">
        <f>IF(I38="","",MAX(0,I38-MAX(I38-F38,$E$6)))</f>
        <v/>
      </c>
      <c r="L38" s="16">
        <f>IF(F38="","",IF(G38="Car or van",J38*$C$6+K38*$G$6,IF(G38="Motorcycle",F38*$I$6,IF(G38="Bicycle",F38*$K$6,0))))</f>
        <v/>
      </c>
      <c r="M38" s="16">
        <f>IF(F38="","",N(H38)*F38*$M$6)</f>
        <v/>
      </c>
      <c r="N38" s="17">
        <f>IF(F38="","",N(L38)+N(M38))</f>
        <v/>
      </c>
    </row>
    <row r="39" ht="17" customHeight="1">
      <c r="B39" s="13" t="n"/>
      <c r="C39" s="14" t="n"/>
      <c r="D39" s="14" t="n"/>
      <c r="E39" s="14" t="n"/>
      <c r="F39" s="10" t="n"/>
      <c r="G39" s="14" t="n"/>
      <c r="H39" s="10" t="n"/>
      <c r="I39" s="15">
        <f>IF(G39&lt;&gt;"Car or van","",SUMIFS($F$12:F39,$G$12:G39,"Car or van"))</f>
        <v/>
      </c>
      <c r="J39" s="15">
        <f>IF(I39="","",MAX(0,MIN(I39,$E$6)-MIN(I39-F39,$E$6)))</f>
        <v/>
      </c>
      <c r="K39" s="15">
        <f>IF(I39="","",MAX(0,I39-MAX(I39-F39,$E$6)))</f>
        <v/>
      </c>
      <c r="L39" s="16">
        <f>IF(F39="","",IF(G39="Car or van",J39*$C$6+K39*$G$6,IF(G39="Motorcycle",F39*$I$6,IF(G39="Bicycle",F39*$K$6,0))))</f>
        <v/>
      </c>
      <c r="M39" s="16">
        <f>IF(F39="","",N(H39)*F39*$M$6)</f>
        <v/>
      </c>
      <c r="N39" s="17">
        <f>IF(F39="","",N(L39)+N(M39))</f>
        <v/>
      </c>
    </row>
    <row r="40" ht="17" customHeight="1">
      <c r="B40" s="13" t="n"/>
      <c r="C40" s="14" t="n"/>
      <c r="D40" s="14" t="n"/>
      <c r="E40" s="14" t="n"/>
      <c r="F40" s="10" t="n"/>
      <c r="G40" s="14" t="n"/>
      <c r="H40" s="10" t="n"/>
      <c r="I40" s="15">
        <f>IF(G40&lt;&gt;"Car or van","",SUMIFS($F$12:F40,$G$12:G40,"Car or van"))</f>
        <v/>
      </c>
      <c r="J40" s="15">
        <f>IF(I40="","",MAX(0,MIN(I40,$E$6)-MIN(I40-F40,$E$6)))</f>
        <v/>
      </c>
      <c r="K40" s="15">
        <f>IF(I40="","",MAX(0,I40-MAX(I40-F40,$E$6)))</f>
        <v/>
      </c>
      <c r="L40" s="16">
        <f>IF(F40="","",IF(G40="Car or van",J40*$C$6+K40*$G$6,IF(G40="Motorcycle",F40*$I$6,IF(G40="Bicycle",F40*$K$6,0))))</f>
        <v/>
      </c>
      <c r="M40" s="16">
        <f>IF(F40="","",N(H40)*F40*$M$6)</f>
        <v/>
      </c>
      <c r="N40" s="17">
        <f>IF(F40="","",N(L40)+N(M40))</f>
        <v/>
      </c>
    </row>
    <row r="41" ht="17" customHeight="1">
      <c r="B41" s="13" t="n"/>
      <c r="C41" s="14" t="n"/>
      <c r="D41" s="14" t="n"/>
      <c r="E41" s="14" t="n"/>
      <c r="F41" s="10" t="n"/>
      <c r="G41" s="14" t="n"/>
      <c r="H41" s="10" t="n"/>
      <c r="I41" s="15">
        <f>IF(G41&lt;&gt;"Car or van","",SUMIFS($F$12:F41,$G$12:G41,"Car or van"))</f>
        <v/>
      </c>
      <c r="J41" s="15">
        <f>IF(I41="","",MAX(0,MIN(I41,$E$6)-MIN(I41-F41,$E$6)))</f>
        <v/>
      </c>
      <c r="K41" s="15">
        <f>IF(I41="","",MAX(0,I41-MAX(I41-F41,$E$6)))</f>
        <v/>
      </c>
      <c r="L41" s="16">
        <f>IF(F41="","",IF(G41="Car or van",J41*$C$6+K41*$G$6,IF(G41="Motorcycle",F41*$I$6,IF(G41="Bicycle",F41*$K$6,0))))</f>
        <v/>
      </c>
      <c r="M41" s="16">
        <f>IF(F41="","",N(H41)*F41*$M$6)</f>
        <v/>
      </c>
      <c r="N41" s="17">
        <f>IF(F41="","",N(L41)+N(M41))</f>
        <v/>
      </c>
    </row>
    <row r="42" ht="17" customHeight="1">
      <c r="B42" s="13" t="n"/>
      <c r="C42" s="14" t="n"/>
      <c r="D42" s="14" t="n"/>
      <c r="E42" s="14" t="n"/>
      <c r="F42" s="10" t="n"/>
      <c r="G42" s="14" t="n"/>
      <c r="H42" s="10" t="n"/>
      <c r="I42" s="15">
        <f>IF(G42&lt;&gt;"Car or van","",SUMIFS($F$12:F42,$G$12:G42,"Car or van"))</f>
        <v/>
      </c>
      <c r="J42" s="15">
        <f>IF(I42="","",MAX(0,MIN(I42,$E$6)-MIN(I42-F42,$E$6)))</f>
        <v/>
      </c>
      <c r="K42" s="15">
        <f>IF(I42="","",MAX(0,I42-MAX(I42-F42,$E$6)))</f>
        <v/>
      </c>
      <c r="L42" s="16">
        <f>IF(F42="","",IF(G42="Car or van",J42*$C$6+K42*$G$6,IF(G42="Motorcycle",F42*$I$6,IF(G42="Bicycle",F42*$K$6,0))))</f>
        <v/>
      </c>
      <c r="M42" s="16">
        <f>IF(F42="","",N(H42)*F42*$M$6)</f>
        <v/>
      </c>
      <c r="N42" s="17">
        <f>IF(F42="","",N(L42)+N(M42))</f>
        <v/>
      </c>
    </row>
    <row r="43" ht="17" customHeight="1">
      <c r="B43" s="13" t="n"/>
      <c r="C43" s="14" t="n"/>
      <c r="D43" s="14" t="n"/>
      <c r="E43" s="14" t="n"/>
      <c r="F43" s="10" t="n"/>
      <c r="G43" s="14" t="n"/>
      <c r="H43" s="10" t="n"/>
      <c r="I43" s="15">
        <f>IF(G43&lt;&gt;"Car or van","",SUMIFS($F$12:F43,$G$12:G43,"Car or van"))</f>
        <v/>
      </c>
      <c r="J43" s="15">
        <f>IF(I43="","",MAX(0,MIN(I43,$E$6)-MIN(I43-F43,$E$6)))</f>
        <v/>
      </c>
      <c r="K43" s="15">
        <f>IF(I43="","",MAX(0,I43-MAX(I43-F43,$E$6)))</f>
        <v/>
      </c>
      <c r="L43" s="16">
        <f>IF(F43="","",IF(G43="Car or van",J43*$C$6+K43*$G$6,IF(G43="Motorcycle",F43*$I$6,IF(G43="Bicycle",F43*$K$6,0))))</f>
        <v/>
      </c>
      <c r="M43" s="16">
        <f>IF(F43="","",N(H43)*F43*$M$6)</f>
        <v/>
      </c>
      <c r="N43" s="17">
        <f>IF(F43="","",N(L43)+N(M43))</f>
        <v/>
      </c>
    </row>
    <row r="44" ht="17" customHeight="1">
      <c r="B44" s="13" t="n"/>
      <c r="C44" s="14" t="n"/>
      <c r="D44" s="14" t="n"/>
      <c r="E44" s="14" t="n"/>
      <c r="F44" s="10" t="n"/>
      <c r="G44" s="14" t="n"/>
      <c r="H44" s="10" t="n"/>
      <c r="I44" s="15">
        <f>IF(G44&lt;&gt;"Car or van","",SUMIFS($F$12:F44,$G$12:G44,"Car or van"))</f>
        <v/>
      </c>
      <c r="J44" s="15">
        <f>IF(I44="","",MAX(0,MIN(I44,$E$6)-MIN(I44-F44,$E$6)))</f>
        <v/>
      </c>
      <c r="K44" s="15">
        <f>IF(I44="","",MAX(0,I44-MAX(I44-F44,$E$6)))</f>
        <v/>
      </c>
      <c r="L44" s="16">
        <f>IF(F44="","",IF(G44="Car or van",J44*$C$6+K44*$G$6,IF(G44="Motorcycle",F44*$I$6,IF(G44="Bicycle",F44*$K$6,0))))</f>
        <v/>
      </c>
      <c r="M44" s="16">
        <f>IF(F44="","",N(H44)*F44*$M$6)</f>
        <v/>
      </c>
      <c r="N44" s="17">
        <f>IF(F44="","",N(L44)+N(M44))</f>
        <v/>
      </c>
    </row>
    <row r="45" ht="17" customHeight="1">
      <c r="B45" s="13" t="n"/>
      <c r="C45" s="14" t="n"/>
      <c r="D45" s="14" t="n"/>
      <c r="E45" s="14" t="n"/>
      <c r="F45" s="10" t="n"/>
      <c r="G45" s="14" t="n"/>
      <c r="H45" s="10" t="n"/>
      <c r="I45" s="15">
        <f>IF(G45&lt;&gt;"Car or van","",SUMIFS($F$12:F45,$G$12:G45,"Car or van"))</f>
        <v/>
      </c>
      <c r="J45" s="15">
        <f>IF(I45="","",MAX(0,MIN(I45,$E$6)-MIN(I45-F45,$E$6)))</f>
        <v/>
      </c>
      <c r="K45" s="15">
        <f>IF(I45="","",MAX(0,I45-MAX(I45-F45,$E$6)))</f>
        <v/>
      </c>
      <c r="L45" s="16">
        <f>IF(F45="","",IF(G45="Car or van",J45*$C$6+K45*$G$6,IF(G45="Motorcycle",F45*$I$6,IF(G45="Bicycle",F45*$K$6,0))))</f>
        <v/>
      </c>
      <c r="M45" s="16">
        <f>IF(F45="","",N(H45)*F45*$M$6)</f>
        <v/>
      </c>
      <c r="N45" s="17">
        <f>IF(F45="","",N(L45)+N(M45))</f>
        <v/>
      </c>
    </row>
    <row r="46" ht="17" customHeight="1">
      <c r="B46" s="13" t="n"/>
      <c r="C46" s="14" t="n"/>
      <c r="D46" s="14" t="n"/>
      <c r="E46" s="14" t="n"/>
      <c r="F46" s="10" t="n"/>
      <c r="G46" s="14" t="n"/>
      <c r="H46" s="10" t="n"/>
      <c r="I46" s="15">
        <f>IF(G46&lt;&gt;"Car or van","",SUMIFS($F$12:F46,$G$12:G46,"Car or van"))</f>
        <v/>
      </c>
      <c r="J46" s="15">
        <f>IF(I46="","",MAX(0,MIN(I46,$E$6)-MIN(I46-F46,$E$6)))</f>
        <v/>
      </c>
      <c r="K46" s="15">
        <f>IF(I46="","",MAX(0,I46-MAX(I46-F46,$E$6)))</f>
        <v/>
      </c>
      <c r="L46" s="16">
        <f>IF(F46="","",IF(G46="Car or van",J46*$C$6+K46*$G$6,IF(G46="Motorcycle",F46*$I$6,IF(G46="Bicycle",F46*$K$6,0))))</f>
        <v/>
      </c>
      <c r="M46" s="16">
        <f>IF(F46="","",N(H46)*F46*$M$6)</f>
        <v/>
      </c>
      <c r="N46" s="17">
        <f>IF(F46="","",N(L46)+N(M46))</f>
        <v/>
      </c>
    </row>
    <row r="47" ht="17" customHeight="1">
      <c r="B47" s="13" t="n"/>
      <c r="C47" s="14" t="n"/>
      <c r="D47" s="14" t="n"/>
      <c r="E47" s="14" t="n"/>
      <c r="F47" s="10" t="n"/>
      <c r="G47" s="14" t="n"/>
      <c r="H47" s="10" t="n"/>
      <c r="I47" s="15">
        <f>IF(G47&lt;&gt;"Car or van","",SUMIFS($F$12:F47,$G$12:G47,"Car or van"))</f>
        <v/>
      </c>
      <c r="J47" s="15">
        <f>IF(I47="","",MAX(0,MIN(I47,$E$6)-MIN(I47-F47,$E$6)))</f>
        <v/>
      </c>
      <c r="K47" s="15">
        <f>IF(I47="","",MAX(0,I47-MAX(I47-F47,$E$6)))</f>
        <v/>
      </c>
      <c r="L47" s="16">
        <f>IF(F47="","",IF(G47="Car or van",J47*$C$6+K47*$G$6,IF(G47="Motorcycle",F47*$I$6,IF(G47="Bicycle",F47*$K$6,0))))</f>
        <v/>
      </c>
      <c r="M47" s="16">
        <f>IF(F47="","",N(H47)*F47*$M$6)</f>
        <v/>
      </c>
      <c r="N47" s="17">
        <f>IF(F47="","",N(L47)+N(M47))</f>
        <v/>
      </c>
    </row>
    <row r="48" ht="17" customHeight="1">
      <c r="B48" s="13" t="n"/>
      <c r="C48" s="14" t="n"/>
      <c r="D48" s="14" t="n"/>
      <c r="E48" s="14" t="n"/>
      <c r="F48" s="10" t="n"/>
      <c r="G48" s="14" t="n"/>
      <c r="H48" s="10" t="n"/>
      <c r="I48" s="15">
        <f>IF(G48&lt;&gt;"Car or van","",SUMIFS($F$12:F48,$G$12:G48,"Car or van"))</f>
        <v/>
      </c>
      <c r="J48" s="15">
        <f>IF(I48="","",MAX(0,MIN(I48,$E$6)-MIN(I48-F48,$E$6)))</f>
        <v/>
      </c>
      <c r="K48" s="15">
        <f>IF(I48="","",MAX(0,I48-MAX(I48-F48,$E$6)))</f>
        <v/>
      </c>
      <c r="L48" s="16">
        <f>IF(F48="","",IF(G48="Car or van",J48*$C$6+K48*$G$6,IF(G48="Motorcycle",F48*$I$6,IF(G48="Bicycle",F48*$K$6,0))))</f>
        <v/>
      </c>
      <c r="M48" s="16">
        <f>IF(F48="","",N(H48)*F48*$M$6)</f>
        <v/>
      </c>
      <c r="N48" s="17">
        <f>IF(F48="","",N(L48)+N(M48))</f>
        <v/>
      </c>
    </row>
    <row r="49" ht="17" customHeight="1">
      <c r="B49" s="13" t="n"/>
      <c r="C49" s="14" t="n"/>
      <c r="D49" s="14" t="n"/>
      <c r="E49" s="14" t="n"/>
      <c r="F49" s="10" t="n"/>
      <c r="G49" s="14" t="n"/>
      <c r="H49" s="10" t="n"/>
      <c r="I49" s="15">
        <f>IF(G49&lt;&gt;"Car or van","",SUMIFS($F$12:F49,$G$12:G49,"Car or van"))</f>
        <v/>
      </c>
      <c r="J49" s="15">
        <f>IF(I49="","",MAX(0,MIN(I49,$E$6)-MIN(I49-F49,$E$6)))</f>
        <v/>
      </c>
      <c r="K49" s="15">
        <f>IF(I49="","",MAX(0,I49-MAX(I49-F49,$E$6)))</f>
        <v/>
      </c>
      <c r="L49" s="16">
        <f>IF(F49="","",IF(G49="Car or van",J49*$C$6+K49*$G$6,IF(G49="Motorcycle",F49*$I$6,IF(G49="Bicycle",F49*$K$6,0))))</f>
        <v/>
      </c>
      <c r="M49" s="16">
        <f>IF(F49="","",N(H49)*F49*$M$6)</f>
        <v/>
      </c>
      <c r="N49" s="17">
        <f>IF(F49="","",N(L49)+N(M49))</f>
        <v/>
      </c>
    </row>
    <row r="50" ht="17" customHeight="1">
      <c r="B50" s="13" t="n"/>
      <c r="C50" s="14" t="n"/>
      <c r="D50" s="14" t="n"/>
      <c r="E50" s="14" t="n"/>
      <c r="F50" s="10" t="n"/>
      <c r="G50" s="14" t="n"/>
      <c r="H50" s="10" t="n"/>
      <c r="I50" s="15">
        <f>IF(G50&lt;&gt;"Car or van","",SUMIFS($F$12:F50,$G$12:G50,"Car or van"))</f>
        <v/>
      </c>
      <c r="J50" s="15">
        <f>IF(I50="","",MAX(0,MIN(I50,$E$6)-MIN(I50-F50,$E$6)))</f>
        <v/>
      </c>
      <c r="K50" s="15">
        <f>IF(I50="","",MAX(0,I50-MAX(I50-F50,$E$6)))</f>
        <v/>
      </c>
      <c r="L50" s="16">
        <f>IF(F50="","",IF(G50="Car or van",J50*$C$6+K50*$G$6,IF(G50="Motorcycle",F50*$I$6,IF(G50="Bicycle",F50*$K$6,0))))</f>
        <v/>
      </c>
      <c r="M50" s="16">
        <f>IF(F50="","",N(H50)*F50*$M$6)</f>
        <v/>
      </c>
      <c r="N50" s="17">
        <f>IF(F50="","",N(L50)+N(M50))</f>
        <v/>
      </c>
    </row>
    <row r="51" ht="17" customHeight="1">
      <c r="B51" s="13" t="n"/>
      <c r="C51" s="14" t="n"/>
      <c r="D51" s="14" t="n"/>
      <c r="E51" s="14" t="n"/>
      <c r="F51" s="10" t="n"/>
      <c r="G51" s="14" t="n"/>
      <c r="H51" s="10" t="n"/>
      <c r="I51" s="15">
        <f>IF(G51&lt;&gt;"Car or van","",SUMIFS($F$12:F51,$G$12:G51,"Car or van"))</f>
        <v/>
      </c>
      <c r="J51" s="15">
        <f>IF(I51="","",MAX(0,MIN(I51,$E$6)-MIN(I51-F51,$E$6)))</f>
        <v/>
      </c>
      <c r="K51" s="15">
        <f>IF(I51="","",MAX(0,I51-MAX(I51-F51,$E$6)))</f>
        <v/>
      </c>
      <c r="L51" s="16">
        <f>IF(F51="","",IF(G51="Car or van",J51*$C$6+K51*$G$6,IF(G51="Motorcycle",F51*$I$6,IF(G51="Bicycle",F51*$K$6,0))))</f>
        <v/>
      </c>
      <c r="M51" s="16">
        <f>IF(F51="","",N(H51)*F51*$M$6)</f>
        <v/>
      </c>
      <c r="N51" s="17">
        <f>IF(F51="","",N(L51)+N(M51))</f>
        <v/>
      </c>
    </row>
    <row r="52" ht="17" customHeight="1">
      <c r="B52" s="13" t="n"/>
      <c r="C52" s="14" t="n"/>
      <c r="D52" s="14" t="n"/>
      <c r="E52" s="14" t="n"/>
      <c r="F52" s="10" t="n"/>
      <c r="G52" s="14" t="n"/>
      <c r="H52" s="10" t="n"/>
      <c r="I52" s="15">
        <f>IF(G52&lt;&gt;"Car or van","",SUMIFS($F$12:F52,$G$12:G52,"Car or van"))</f>
        <v/>
      </c>
      <c r="J52" s="15">
        <f>IF(I52="","",MAX(0,MIN(I52,$E$6)-MIN(I52-F52,$E$6)))</f>
        <v/>
      </c>
      <c r="K52" s="15">
        <f>IF(I52="","",MAX(0,I52-MAX(I52-F52,$E$6)))</f>
        <v/>
      </c>
      <c r="L52" s="16">
        <f>IF(F52="","",IF(G52="Car or van",J52*$C$6+K52*$G$6,IF(G52="Motorcycle",F52*$I$6,IF(G52="Bicycle",F52*$K$6,0))))</f>
        <v/>
      </c>
      <c r="M52" s="16">
        <f>IF(F52="","",N(H52)*F52*$M$6)</f>
        <v/>
      </c>
      <c r="N52" s="17">
        <f>IF(F52="","",N(L52)+N(M52))</f>
        <v/>
      </c>
    </row>
    <row r="53" ht="17" customHeight="1">
      <c r="B53" s="13" t="n"/>
      <c r="C53" s="14" t="n"/>
      <c r="D53" s="14" t="n"/>
      <c r="E53" s="14" t="n"/>
      <c r="F53" s="10" t="n"/>
      <c r="G53" s="14" t="n"/>
      <c r="H53" s="10" t="n"/>
      <c r="I53" s="15">
        <f>IF(G53&lt;&gt;"Car or van","",SUMIFS($F$12:F53,$G$12:G53,"Car or van"))</f>
        <v/>
      </c>
      <c r="J53" s="15">
        <f>IF(I53="","",MAX(0,MIN(I53,$E$6)-MIN(I53-F53,$E$6)))</f>
        <v/>
      </c>
      <c r="K53" s="15">
        <f>IF(I53="","",MAX(0,I53-MAX(I53-F53,$E$6)))</f>
        <v/>
      </c>
      <c r="L53" s="16">
        <f>IF(F53="","",IF(G53="Car or van",J53*$C$6+K53*$G$6,IF(G53="Motorcycle",F53*$I$6,IF(G53="Bicycle",F53*$K$6,0))))</f>
        <v/>
      </c>
      <c r="M53" s="16">
        <f>IF(F53="","",N(H53)*F53*$M$6)</f>
        <v/>
      </c>
      <c r="N53" s="17">
        <f>IF(F53="","",N(L53)+N(M53))</f>
        <v/>
      </c>
    </row>
    <row r="54" ht="17" customHeight="1">
      <c r="B54" s="13" t="n"/>
      <c r="C54" s="14" t="n"/>
      <c r="D54" s="14" t="n"/>
      <c r="E54" s="14" t="n"/>
      <c r="F54" s="10" t="n"/>
      <c r="G54" s="14" t="n"/>
      <c r="H54" s="10" t="n"/>
      <c r="I54" s="15">
        <f>IF(G54&lt;&gt;"Car or van","",SUMIFS($F$12:F54,$G$12:G54,"Car or van"))</f>
        <v/>
      </c>
      <c r="J54" s="15">
        <f>IF(I54="","",MAX(0,MIN(I54,$E$6)-MIN(I54-F54,$E$6)))</f>
        <v/>
      </c>
      <c r="K54" s="15">
        <f>IF(I54="","",MAX(0,I54-MAX(I54-F54,$E$6)))</f>
        <v/>
      </c>
      <c r="L54" s="16">
        <f>IF(F54="","",IF(G54="Car or van",J54*$C$6+K54*$G$6,IF(G54="Motorcycle",F54*$I$6,IF(G54="Bicycle",F54*$K$6,0))))</f>
        <v/>
      </c>
      <c r="M54" s="16">
        <f>IF(F54="","",N(H54)*F54*$M$6)</f>
        <v/>
      </c>
      <c r="N54" s="17">
        <f>IF(F54="","",N(L54)+N(M54))</f>
        <v/>
      </c>
    </row>
    <row r="55" ht="17" customHeight="1">
      <c r="B55" s="13" t="n"/>
      <c r="C55" s="14" t="n"/>
      <c r="D55" s="14" t="n"/>
      <c r="E55" s="14" t="n"/>
      <c r="F55" s="10" t="n"/>
      <c r="G55" s="14" t="n"/>
      <c r="H55" s="10" t="n"/>
      <c r="I55" s="15">
        <f>IF(G55&lt;&gt;"Car or van","",SUMIFS($F$12:F55,$G$12:G55,"Car or van"))</f>
        <v/>
      </c>
      <c r="J55" s="15">
        <f>IF(I55="","",MAX(0,MIN(I55,$E$6)-MIN(I55-F55,$E$6)))</f>
        <v/>
      </c>
      <c r="K55" s="15">
        <f>IF(I55="","",MAX(0,I55-MAX(I55-F55,$E$6)))</f>
        <v/>
      </c>
      <c r="L55" s="16">
        <f>IF(F55="","",IF(G55="Car or van",J55*$C$6+K55*$G$6,IF(G55="Motorcycle",F55*$I$6,IF(G55="Bicycle",F55*$K$6,0))))</f>
        <v/>
      </c>
      <c r="M55" s="16">
        <f>IF(F55="","",N(H55)*F55*$M$6)</f>
        <v/>
      </c>
      <c r="N55" s="17">
        <f>IF(F55="","",N(L55)+N(M55))</f>
        <v/>
      </c>
    </row>
    <row r="56" ht="17" customHeight="1">
      <c r="B56" s="13" t="n"/>
      <c r="C56" s="14" t="n"/>
      <c r="D56" s="14" t="n"/>
      <c r="E56" s="14" t="n"/>
      <c r="F56" s="10" t="n"/>
      <c r="G56" s="14" t="n"/>
      <c r="H56" s="10" t="n"/>
      <c r="I56" s="15">
        <f>IF(G56&lt;&gt;"Car or van","",SUMIFS($F$12:F56,$G$12:G56,"Car or van"))</f>
        <v/>
      </c>
      <c r="J56" s="15">
        <f>IF(I56="","",MAX(0,MIN(I56,$E$6)-MIN(I56-F56,$E$6)))</f>
        <v/>
      </c>
      <c r="K56" s="15">
        <f>IF(I56="","",MAX(0,I56-MAX(I56-F56,$E$6)))</f>
        <v/>
      </c>
      <c r="L56" s="16">
        <f>IF(F56="","",IF(G56="Car or van",J56*$C$6+K56*$G$6,IF(G56="Motorcycle",F56*$I$6,IF(G56="Bicycle",F56*$K$6,0))))</f>
        <v/>
      </c>
      <c r="M56" s="16">
        <f>IF(F56="","",N(H56)*F56*$M$6)</f>
        <v/>
      </c>
      <c r="N56" s="17">
        <f>IF(F56="","",N(L56)+N(M56))</f>
        <v/>
      </c>
    </row>
    <row r="57" ht="17" customHeight="1">
      <c r="B57" s="13" t="n"/>
      <c r="C57" s="14" t="n"/>
      <c r="D57" s="14" t="n"/>
      <c r="E57" s="14" t="n"/>
      <c r="F57" s="10" t="n"/>
      <c r="G57" s="14" t="n"/>
      <c r="H57" s="10" t="n"/>
      <c r="I57" s="15">
        <f>IF(G57&lt;&gt;"Car or van","",SUMIFS($F$12:F57,$G$12:G57,"Car or van"))</f>
        <v/>
      </c>
      <c r="J57" s="15">
        <f>IF(I57="","",MAX(0,MIN(I57,$E$6)-MIN(I57-F57,$E$6)))</f>
        <v/>
      </c>
      <c r="K57" s="15">
        <f>IF(I57="","",MAX(0,I57-MAX(I57-F57,$E$6)))</f>
        <v/>
      </c>
      <c r="L57" s="16">
        <f>IF(F57="","",IF(G57="Car or van",J57*$C$6+K57*$G$6,IF(G57="Motorcycle",F57*$I$6,IF(G57="Bicycle",F57*$K$6,0))))</f>
        <v/>
      </c>
      <c r="M57" s="16">
        <f>IF(F57="","",N(H57)*F57*$M$6)</f>
        <v/>
      </c>
      <c r="N57" s="17">
        <f>IF(F57="","",N(L57)+N(M57))</f>
        <v/>
      </c>
    </row>
    <row r="58" ht="17" customHeight="1">
      <c r="B58" s="13" t="n"/>
      <c r="C58" s="14" t="n"/>
      <c r="D58" s="14" t="n"/>
      <c r="E58" s="14" t="n"/>
      <c r="F58" s="10" t="n"/>
      <c r="G58" s="14" t="n"/>
      <c r="H58" s="10" t="n"/>
      <c r="I58" s="15">
        <f>IF(G58&lt;&gt;"Car or van","",SUMIFS($F$12:F58,$G$12:G58,"Car or van"))</f>
        <v/>
      </c>
      <c r="J58" s="15">
        <f>IF(I58="","",MAX(0,MIN(I58,$E$6)-MIN(I58-F58,$E$6)))</f>
        <v/>
      </c>
      <c r="K58" s="15">
        <f>IF(I58="","",MAX(0,I58-MAX(I58-F58,$E$6)))</f>
        <v/>
      </c>
      <c r="L58" s="16">
        <f>IF(F58="","",IF(G58="Car or van",J58*$C$6+K58*$G$6,IF(G58="Motorcycle",F58*$I$6,IF(G58="Bicycle",F58*$K$6,0))))</f>
        <v/>
      </c>
      <c r="M58" s="16">
        <f>IF(F58="","",N(H58)*F58*$M$6)</f>
        <v/>
      </c>
      <c r="N58" s="17">
        <f>IF(F58="","",N(L58)+N(M58))</f>
        <v/>
      </c>
    </row>
    <row r="59" ht="17" customHeight="1">
      <c r="B59" s="13" t="n"/>
      <c r="C59" s="14" t="n"/>
      <c r="D59" s="14" t="n"/>
      <c r="E59" s="14" t="n"/>
      <c r="F59" s="10" t="n"/>
      <c r="G59" s="14" t="n"/>
      <c r="H59" s="10" t="n"/>
      <c r="I59" s="15">
        <f>IF(G59&lt;&gt;"Car or van","",SUMIFS($F$12:F59,$G$12:G59,"Car or van"))</f>
        <v/>
      </c>
      <c r="J59" s="15">
        <f>IF(I59="","",MAX(0,MIN(I59,$E$6)-MIN(I59-F59,$E$6)))</f>
        <v/>
      </c>
      <c r="K59" s="15">
        <f>IF(I59="","",MAX(0,I59-MAX(I59-F59,$E$6)))</f>
        <v/>
      </c>
      <c r="L59" s="16">
        <f>IF(F59="","",IF(G59="Car or van",J59*$C$6+K59*$G$6,IF(G59="Motorcycle",F59*$I$6,IF(G59="Bicycle",F59*$K$6,0))))</f>
        <v/>
      </c>
      <c r="M59" s="16">
        <f>IF(F59="","",N(H59)*F59*$M$6)</f>
        <v/>
      </c>
      <c r="N59" s="17">
        <f>IF(F59="","",N(L59)+N(M59))</f>
        <v/>
      </c>
    </row>
    <row r="60" ht="17" customHeight="1">
      <c r="B60" s="13" t="n"/>
      <c r="C60" s="14" t="n"/>
      <c r="D60" s="14" t="n"/>
      <c r="E60" s="14" t="n"/>
      <c r="F60" s="10" t="n"/>
      <c r="G60" s="14" t="n"/>
      <c r="H60" s="10" t="n"/>
      <c r="I60" s="15">
        <f>IF(G60&lt;&gt;"Car or van","",SUMIFS($F$12:F60,$G$12:G60,"Car or van"))</f>
        <v/>
      </c>
      <c r="J60" s="15">
        <f>IF(I60="","",MAX(0,MIN(I60,$E$6)-MIN(I60-F60,$E$6)))</f>
        <v/>
      </c>
      <c r="K60" s="15">
        <f>IF(I60="","",MAX(0,I60-MAX(I60-F60,$E$6)))</f>
        <v/>
      </c>
      <c r="L60" s="16">
        <f>IF(F60="","",IF(G60="Car or van",J60*$C$6+K60*$G$6,IF(G60="Motorcycle",F60*$I$6,IF(G60="Bicycle",F60*$K$6,0))))</f>
        <v/>
      </c>
      <c r="M60" s="16">
        <f>IF(F60="","",N(H60)*F60*$M$6)</f>
        <v/>
      </c>
      <c r="N60" s="17">
        <f>IF(F60="","",N(L60)+N(M60))</f>
        <v/>
      </c>
    </row>
    <row r="61" ht="17" customHeight="1">
      <c r="B61" s="13" t="n"/>
      <c r="C61" s="14" t="n"/>
      <c r="D61" s="14" t="n"/>
      <c r="E61" s="14" t="n"/>
      <c r="F61" s="10" t="n"/>
      <c r="G61" s="14" t="n"/>
      <c r="H61" s="10" t="n"/>
      <c r="I61" s="15">
        <f>IF(G61&lt;&gt;"Car or van","",SUMIFS($F$12:F61,$G$12:G61,"Car or van"))</f>
        <v/>
      </c>
      <c r="J61" s="15">
        <f>IF(I61="","",MAX(0,MIN(I61,$E$6)-MIN(I61-F61,$E$6)))</f>
        <v/>
      </c>
      <c r="K61" s="15">
        <f>IF(I61="","",MAX(0,I61-MAX(I61-F61,$E$6)))</f>
        <v/>
      </c>
      <c r="L61" s="16">
        <f>IF(F61="","",IF(G61="Car or van",J61*$C$6+K61*$G$6,IF(G61="Motorcycle",F61*$I$6,IF(G61="Bicycle",F61*$K$6,0))))</f>
        <v/>
      </c>
      <c r="M61" s="16">
        <f>IF(F61="","",N(H61)*F61*$M$6)</f>
        <v/>
      </c>
      <c r="N61" s="17">
        <f>IF(F61="","",N(L61)+N(M61))</f>
        <v/>
      </c>
    </row>
    <row r="62" ht="17" customHeight="1">
      <c r="B62" s="13" t="n"/>
      <c r="C62" s="14" t="n"/>
      <c r="D62" s="14" t="n"/>
      <c r="E62" s="14" t="n"/>
      <c r="F62" s="10" t="n"/>
      <c r="G62" s="14" t="n"/>
      <c r="H62" s="10" t="n"/>
      <c r="I62" s="15">
        <f>IF(G62&lt;&gt;"Car or van","",SUMIFS($F$12:F62,$G$12:G62,"Car or van"))</f>
        <v/>
      </c>
      <c r="J62" s="15">
        <f>IF(I62="","",MAX(0,MIN(I62,$E$6)-MIN(I62-F62,$E$6)))</f>
        <v/>
      </c>
      <c r="K62" s="15">
        <f>IF(I62="","",MAX(0,I62-MAX(I62-F62,$E$6)))</f>
        <v/>
      </c>
      <c r="L62" s="16">
        <f>IF(F62="","",IF(G62="Car or van",J62*$C$6+K62*$G$6,IF(G62="Motorcycle",F62*$I$6,IF(G62="Bicycle",F62*$K$6,0))))</f>
        <v/>
      </c>
      <c r="M62" s="16">
        <f>IF(F62="","",N(H62)*F62*$M$6)</f>
        <v/>
      </c>
      <c r="N62" s="17">
        <f>IF(F62="","",N(L62)+N(M62))</f>
        <v/>
      </c>
    </row>
    <row r="63" ht="17" customHeight="1">
      <c r="B63" s="13" t="n"/>
      <c r="C63" s="14" t="n"/>
      <c r="D63" s="14" t="n"/>
      <c r="E63" s="14" t="n"/>
      <c r="F63" s="10" t="n"/>
      <c r="G63" s="14" t="n"/>
      <c r="H63" s="10" t="n"/>
      <c r="I63" s="15">
        <f>IF(G63&lt;&gt;"Car or van","",SUMIFS($F$12:F63,$G$12:G63,"Car or van"))</f>
        <v/>
      </c>
      <c r="J63" s="15">
        <f>IF(I63="","",MAX(0,MIN(I63,$E$6)-MIN(I63-F63,$E$6)))</f>
        <v/>
      </c>
      <c r="K63" s="15">
        <f>IF(I63="","",MAX(0,I63-MAX(I63-F63,$E$6)))</f>
        <v/>
      </c>
      <c r="L63" s="16">
        <f>IF(F63="","",IF(G63="Car or van",J63*$C$6+K63*$G$6,IF(G63="Motorcycle",F63*$I$6,IF(G63="Bicycle",F63*$K$6,0))))</f>
        <v/>
      </c>
      <c r="M63" s="16">
        <f>IF(F63="","",N(H63)*F63*$M$6)</f>
        <v/>
      </c>
      <c r="N63" s="17">
        <f>IF(F63="","",N(L63)+N(M63))</f>
        <v/>
      </c>
    </row>
    <row r="64" ht="17" customHeight="1">
      <c r="B64" s="13" t="n"/>
      <c r="C64" s="14" t="n"/>
      <c r="D64" s="14" t="n"/>
      <c r="E64" s="14" t="n"/>
      <c r="F64" s="10" t="n"/>
      <c r="G64" s="14" t="n"/>
      <c r="H64" s="10" t="n"/>
      <c r="I64" s="15">
        <f>IF(G64&lt;&gt;"Car or van","",SUMIFS($F$12:F64,$G$12:G64,"Car or van"))</f>
        <v/>
      </c>
      <c r="J64" s="15">
        <f>IF(I64="","",MAX(0,MIN(I64,$E$6)-MIN(I64-F64,$E$6)))</f>
        <v/>
      </c>
      <c r="K64" s="15">
        <f>IF(I64="","",MAX(0,I64-MAX(I64-F64,$E$6)))</f>
        <v/>
      </c>
      <c r="L64" s="16">
        <f>IF(F64="","",IF(G64="Car or van",J64*$C$6+K64*$G$6,IF(G64="Motorcycle",F64*$I$6,IF(G64="Bicycle",F64*$K$6,0))))</f>
        <v/>
      </c>
      <c r="M64" s="16">
        <f>IF(F64="","",N(H64)*F64*$M$6)</f>
        <v/>
      </c>
      <c r="N64" s="17">
        <f>IF(F64="","",N(L64)+N(M64))</f>
        <v/>
      </c>
    </row>
    <row r="65" ht="17" customHeight="1">
      <c r="B65" s="13" t="n"/>
      <c r="C65" s="14" t="n"/>
      <c r="D65" s="14" t="n"/>
      <c r="E65" s="14" t="n"/>
      <c r="F65" s="10" t="n"/>
      <c r="G65" s="14" t="n"/>
      <c r="H65" s="10" t="n"/>
      <c r="I65" s="15">
        <f>IF(G65&lt;&gt;"Car or van","",SUMIFS($F$12:F65,$G$12:G65,"Car or van"))</f>
        <v/>
      </c>
      <c r="J65" s="15">
        <f>IF(I65="","",MAX(0,MIN(I65,$E$6)-MIN(I65-F65,$E$6)))</f>
        <v/>
      </c>
      <c r="K65" s="15">
        <f>IF(I65="","",MAX(0,I65-MAX(I65-F65,$E$6)))</f>
        <v/>
      </c>
      <c r="L65" s="16">
        <f>IF(F65="","",IF(G65="Car or van",J65*$C$6+K65*$G$6,IF(G65="Motorcycle",F65*$I$6,IF(G65="Bicycle",F65*$K$6,0))))</f>
        <v/>
      </c>
      <c r="M65" s="16">
        <f>IF(F65="","",N(H65)*F65*$M$6)</f>
        <v/>
      </c>
      <c r="N65" s="17">
        <f>IF(F65="","",N(L65)+N(M65))</f>
        <v/>
      </c>
    </row>
    <row r="66" ht="17" customHeight="1">
      <c r="B66" s="13" t="n"/>
      <c r="C66" s="14" t="n"/>
      <c r="D66" s="14" t="n"/>
      <c r="E66" s="14" t="n"/>
      <c r="F66" s="10" t="n"/>
      <c r="G66" s="14" t="n"/>
      <c r="H66" s="10" t="n"/>
      <c r="I66" s="15">
        <f>IF(G66&lt;&gt;"Car or van","",SUMIFS($F$12:F66,$G$12:G66,"Car or van"))</f>
        <v/>
      </c>
      <c r="J66" s="15">
        <f>IF(I66="","",MAX(0,MIN(I66,$E$6)-MIN(I66-F66,$E$6)))</f>
        <v/>
      </c>
      <c r="K66" s="15">
        <f>IF(I66="","",MAX(0,I66-MAX(I66-F66,$E$6)))</f>
        <v/>
      </c>
      <c r="L66" s="16">
        <f>IF(F66="","",IF(G66="Car or van",J66*$C$6+K66*$G$6,IF(G66="Motorcycle",F66*$I$6,IF(G66="Bicycle",F66*$K$6,0))))</f>
        <v/>
      </c>
      <c r="M66" s="16">
        <f>IF(F66="","",N(H66)*F66*$M$6)</f>
        <v/>
      </c>
      <c r="N66" s="17">
        <f>IF(F66="","",N(L66)+N(M66))</f>
        <v/>
      </c>
    </row>
    <row r="67" ht="17" customHeight="1">
      <c r="B67" s="13" t="n"/>
      <c r="C67" s="14" t="n"/>
      <c r="D67" s="14" t="n"/>
      <c r="E67" s="14" t="n"/>
      <c r="F67" s="10" t="n"/>
      <c r="G67" s="14" t="n"/>
      <c r="H67" s="10" t="n"/>
      <c r="I67" s="15">
        <f>IF(G67&lt;&gt;"Car or van","",SUMIFS($F$12:F67,$G$12:G67,"Car or van"))</f>
        <v/>
      </c>
      <c r="J67" s="15">
        <f>IF(I67="","",MAX(0,MIN(I67,$E$6)-MIN(I67-F67,$E$6)))</f>
        <v/>
      </c>
      <c r="K67" s="15">
        <f>IF(I67="","",MAX(0,I67-MAX(I67-F67,$E$6)))</f>
        <v/>
      </c>
      <c r="L67" s="16">
        <f>IF(F67="","",IF(G67="Car or van",J67*$C$6+K67*$G$6,IF(G67="Motorcycle",F67*$I$6,IF(G67="Bicycle",F67*$K$6,0))))</f>
        <v/>
      </c>
      <c r="M67" s="16">
        <f>IF(F67="","",N(H67)*F67*$M$6)</f>
        <v/>
      </c>
      <c r="N67" s="17">
        <f>IF(F67="","",N(L67)+N(M67))</f>
        <v/>
      </c>
    </row>
    <row r="68" ht="17" customHeight="1">
      <c r="B68" s="13" t="n"/>
      <c r="C68" s="14" t="n"/>
      <c r="D68" s="14" t="n"/>
      <c r="E68" s="14" t="n"/>
      <c r="F68" s="10" t="n"/>
      <c r="G68" s="14" t="n"/>
      <c r="H68" s="10" t="n"/>
      <c r="I68" s="15">
        <f>IF(G68&lt;&gt;"Car or van","",SUMIFS($F$12:F68,$G$12:G68,"Car or van"))</f>
        <v/>
      </c>
      <c r="J68" s="15">
        <f>IF(I68="","",MAX(0,MIN(I68,$E$6)-MIN(I68-F68,$E$6)))</f>
        <v/>
      </c>
      <c r="K68" s="15">
        <f>IF(I68="","",MAX(0,I68-MAX(I68-F68,$E$6)))</f>
        <v/>
      </c>
      <c r="L68" s="16">
        <f>IF(F68="","",IF(G68="Car or van",J68*$C$6+K68*$G$6,IF(G68="Motorcycle",F68*$I$6,IF(G68="Bicycle",F68*$K$6,0))))</f>
        <v/>
      </c>
      <c r="M68" s="16">
        <f>IF(F68="","",N(H68)*F68*$M$6)</f>
        <v/>
      </c>
      <c r="N68" s="17">
        <f>IF(F68="","",N(L68)+N(M68))</f>
        <v/>
      </c>
    </row>
    <row r="69" ht="17" customHeight="1">
      <c r="B69" s="13" t="n"/>
      <c r="C69" s="14" t="n"/>
      <c r="D69" s="14" t="n"/>
      <c r="E69" s="14" t="n"/>
      <c r="F69" s="10" t="n"/>
      <c r="G69" s="14" t="n"/>
      <c r="H69" s="10" t="n"/>
      <c r="I69" s="15">
        <f>IF(G69&lt;&gt;"Car or van","",SUMIFS($F$12:F69,$G$12:G69,"Car or van"))</f>
        <v/>
      </c>
      <c r="J69" s="15">
        <f>IF(I69="","",MAX(0,MIN(I69,$E$6)-MIN(I69-F69,$E$6)))</f>
        <v/>
      </c>
      <c r="K69" s="15">
        <f>IF(I69="","",MAX(0,I69-MAX(I69-F69,$E$6)))</f>
        <v/>
      </c>
      <c r="L69" s="16">
        <f>IF(F69="","",IF(G69="Car or van",J69*$C$6+K69*$G$6,IF(G69="Motorcycle",F69*$I$6,IF(G69="Bicycle",F69*$K$6,0))))</f>
        <v/>
      </c>
      <c r="M69" s="16">
        <f>IF(F69="","",N(H69)*F69*$M$6)</f>
        <v/>
      </c>
      <c r="N69" s="17">
        <f>IF(F69="","",N(L69)+N(M69))</f>
        <v/>
      </c>
    </row>
    <row r="70" ht="17" customHeight="1">
      <c r="B70" s="13" t="n"/>
      <c r="C70" s="14" t="n"/>
      <c r="D70" s="14" t="n"/>
      <c r="E70" s="14" t="n"/>
      <c r="F70" s="10" t="n"/>
      <c r="G70" s="14" t="n"/>
      <c r="H70" s="10" t="n"/>
      <c r="I70" s="15">
        <f>IF(G70&lt;&gt;"Car or van","",SUMIFS($F$12:F70,$G$12:G70,"Car or van"))</f>
        <v/>
      </c>
      <c r="J70" s="15">
        <f>IF(I70="","",MAX(0,MIN(I70,$E$6)-MIN(I70-F70,$E$6)))</f>
        <v/>
      </c>
      <c r="K70" s="15">
        <f>IF(I70="","",MAX(0,I70-MAX(I70-F70,$E$6)))</f>
        <v/>
      </c>
      <c r="L70" s="16">
        <f>IF(F70="","",IF(G70="Car or van",J70*$C$6+K70*$G$6,IF(G70="Motorcycle",F70*$I$6,IF(G70="Bicycle",F70*$K$6,0))))</f>
        <v/>
      </c>
      <c r="M70" s="16">
        <f>IF(F70="","",N(H70)*F70*$M$6)</f>
        <v/>
      </c>
      <c r="N70" s="17">
        <f>IF(F70="","",N(L70)+N(M70))</f>
        <v/>
      </c>
    </row>
    <row r="71" ht="17" customHeight="1">
      <c r="B71" s="13" t="n"/>
      <c r="C71" s="14" t="n"/>
      <c r="D71" s="14" t="n"/>
      <c r="E71" s="14" t="n"/>
      <c r="F71" s="10" t="n"/>
      <c r="G71" s="14" t="n"/>
      <c r="H71" s="10" t="n"/>
      <c r="I71" s="15">
        <f>IF(G71&lt;&gt;"Car or van","",SUMIFS($F$12:F71,$G$12:G71,"Car or van"))</f>
        <v/>
      </c>
      <c r="J71" s="15">
        <f>IF(I71="","",MAX(0,MIN(I71,$E$6)-MIN(I71-F71,$E$6)))</f>
        <v/>
      </c>
      <c r="K71" s="15">
        <f>IF(I71="","",MAX(0,I71-MAX(I71-F71,$E$6)))</f>
        <v/>
      </c>
      <c r="L71" s="16">
        <f>IF(F71="","",IF(G71="Car or van",J71*$C$6+K71*$G$6,IF(G71="Motorcycle",F71*$I$6,IF(G71="Bicycle",F71*$K$6,0))))</f>
        <v/>
      </c>
      <c r="M71" s="16">
        <f>IF(F71="","",N(H71)*F71*$M$6)</f>
        <v/>
      </c>
      <c r="N71" s="17">
        <f>IF(F71="","",N(L71)+N(M71))</f>
        <v/>
      </c>
    </row>
    <row r="72" ht="17" customHeight="1">
      <c r="B72" s="13" t="n"/>
      <c r="C72" s="14" t="n"/>
      <c r="D72" s="14" t="n"/>
      <c r="E72" s="14" t="n"/>
      <c r="F72" s="10" t="n"/>
      <c r="G72" s="14" t="n"/>
      <c r="H72" s="10" t="n"/>
      <c r="I72" s="15">
        <f>IF(G72&lt;&gt;"Car or van","",SUMIFS($F$12:F72,$G$12:G72,"Car or van"))</f>
        <v/>
      </c>
      <c r="J72" s="15">
        <f>IF(I72="","",MAX(0,MIN(I72,$E$6)-MIN(I72-F72,$E$6)))</f>
        <v/>
      </c>
      <c r="K72" s="15">
        <f>IF(I72="","",MAX(0,I72-MAX(I72-F72,$E$6)))</f>
        <v/>
      </c>
      <c r="L72" s="16">
        <f>IF(F72="","",IF(G72="Car or van",J72*$C$6+K72*$G$6,IF(G72="Motorcycle",F72*$I$6,IF(G72="Bicycle",F72*$K$6,0))))</f>
        <v/>
      </c>
      <c r="M72" s="16">
        <f>IF(F72="","",N(H72)*F72*$M$6)</f>
        <v/>
      </c>
      <c r="N72" s="17">
        <f>IF(F72="","",N(L72)+N(M72))</f>
        <v/>
      </c>
    </row>
    <row r="73" ht="17" customHeight="1">
      <c r="B73" s="13" t="n"/>
      <c r="C73" s="14" t="n"/>
      <c r="D73" s="14" t="n"/>
      <c r="E73" s="14" t="n"/>
      <c r="F73" s="10" t="n"/>
      <c r="G73" s="14" t="n"/>
      <c r="H73" s="10" t="n"/>
      <c r="I73" s="15">
        <f>IF(G73&lt;&gt;"Car or van","",SUMIFS($F$12:F73,$G$12:G73,"Car or van"))</f>
        <v/>
      </c>
      <c r="J73" s="15">
        <f>IF(I73="","",MAX(0,MIN(I73,$E$6)-MIN(I73-F73,$E$6)))</f>
        <v/>
      </c>
      <c r="K73" s="15">
        <f>IF(I73="","",MAX(0,I73-MAX(I73-F73,$E$6)))</f>
        <v/>
      </c>
      <c r="L73" s="16">
        <f>IF(F73="","",IF(G73="Car or van",J73*$C$6+K73*$G$6,IF(G73="Motorcycle",F73*$I$6,IF(G73="Bicycle",F73*$K$6,0))))</f>
        <v/>
      </c>
      <c r="M73" s="16">
        <f>IF(F73="","",N(H73)*F73*$M$6)</f>
        <v/>
      </c>
      <c r="N73" s="17">
        <f>IF(F73="","",N(L73)+N(M73))</f>
        <v/>
      </c>
    </row>
    <row r="74" ht="17" customHeight="1">
      <c r="B74" s="13" t="n"/>
      <c r="C74" s="14" t="n"/>
      <c r="D74" s="14" t="n"/>
      <c r="E74" s="14" t="n"/>
      <c r="F74" s="10" t="n"/>
      <c r="G74" s="14" t="n"/>
      <c r="H74" s="10" t="n"/>
      <c r="I74" s="15">
        <f>IF(G74&lt;&gt;"Car or van","",SUMIFS($F$12:F74,$G$12:G74,"Car or van"))</f>
        <v/>
      </c>
      <c r="J74" s="15">
        <f>IF(I74="","",MAX(0,MIN(I74,$E$6)-MIN(I74-F74,$E$6)))</f>
        <v/>
      </c>
      <c r="K74" s="15">
        <f>IF(I74="","",MAX(0,I74-MAX(I74-F74,$E$6)))</f>
        <v/>
      </c>
      <c r="L74" s="16">
        <f>IF(F74="","",IF(G74="Car or van",J74*$C$6+K74*$G$6,IF(G74="Motorcycle",F74*$I$6,IF(G74="Bicycle",F74*$K$6,0))))</f>
        <v/>
      </c>
      <c r="M74" s="16">
        <f>IF(F74="","",N(H74)*F74*$M$6)</f>
        <v/>
      </c>
      <c r="N74" s="17">
        <f>IF(F74="","",N(L74)+N(M74))</f>
        <v/>
      </c>
    </row>
    <row r="75" ht="17" customHeight="1">
      <c r="B75" s="13" t="n"/>
      <c r="C75" s="14" t="n"/>
      <c r="D75" s="14" t="n"/>
      <c r="E75" s="14" t="n"/>
      <c r="F75" s="10" t="n"/>
      <c r="G75" s="14" t="n"/>
      <c r="H75" s="10" t="n"/>
      <c r="I75" s="15">
        <f>IF(G75&lt;&gt;"Car or van","",SUMIFS($F$12:F75,$G$12:G75,"Car or van"))</f>
        <v/>
      </c>
      <c r="J75" s="15">
        <f>IF(I75="","",MAX(0,MIN(I75,$E$6)-MIN(I75-F75,$E$6)))</f>
        <v/>
      </c>
      <c r="K75" s="15">
        <f>IF(I75="","",MAX(0,I75-MAX(I75-F75,$E$6)))</f>
        <v/>
      </c>
      <c r="L75" s="16">
        <f>IF(F75="","",IF(G75="Car or van",J75*$C$6+K75*$G$6,IF(G75="Motorcycle",F75*$I$6,IF(G75="Bicycle",F75*$K$6,0))))</f>
        <v/>
      </c>
      <c r="M75" s="16">
        <f>IF(F75="","",N(H75)*F75*$M$6)</f>
        <v/>
      </c>
      <c r="N75" s="17">
        <f>IF(F75="","",N(L75)+N(M75))</f>
        <v/>
      </c>
    </row>
    <row r="76" ht="17" customHeight="1">
      <c r="B76" s="13" t="n"/>
      <c r="C76" s="14" t="n"/>
      <c r="D76" s="14" t="n"/>
      <c r="E76" s="14" t="n"/>
      <c r="F76" s="10" t="n"/>
      <c r="G76" s="14" t="n"/>
      <c r="H76" s="10" t="n"/>
      <c r="I76" s="15">
        <f>IF(G76&lt;&gt;"Car or van","",SUMIFS($F$12:F76,$G$12:G76,"Car or van"))</f>
        <v/>
      </c>
      <c r="J76" s="15">
        <f>IF(I76="","",MAX(0,MIN(I76,$E$6)-MIN(I76-F76,$E$6)))</f>
        <v/>
      </c>
      <c r="K76" s="15">
        <f>IF(I76="","",MAX(0,I76-MAX(I76-F76,$E$6)))</f>
        <v/>
      </c>
      <c r="L76" s="16">
        <f>IF(F76="","",IF(G76="Car or van",J76*$C$6+K76*$G$6,IF(G76="Motorcycle",F76*$I$6,IF(G76="Bicycle",F76*$K$6,0))))</f>
        <v/>
      </c>
      <c r="M76" s="16">
        <f>IF(F76="","",N(H76)*F76*$M$6)</f>
        <v/>
      </c>
      <c r="N76" s="17">
        <f>IF(F76="","",N(L76)+N(M76))</f>
        <v/>
      </c>
    </row>
    <row r="77" ht="17" customHeight="1">
      <c r="B77" s="13" t="n"/>
      <c r="C77" s="14" t="n"/>
      <c r="D77" s="14" t="n"/>
      <c r="E77" s="14" t="n"/>
      <c r="F77" s="10" t="n"/>
      <c r="G77" s="14" t="n"/>
      <c r="H77" s="10" t="n"/>
      <c r="I77" s="15">
        <f>IF(G77&lt;&gt;"Car or van","",SUMIFS($F$12:F77,$G$12:G77,"Car or van"))</f>
        <v/>
      </c>
      <c r="J77" s="15">
        <f>IF(I77="","",MAX(0,MIN(I77,$E$6)-MIN(I77-F77,$E$6)))</f>
        <v/>
      </c>
      <c r="K77" s="15">
        <f>IF(I77="","",MAX(0,I77-MAX(I77-F77,$E$6)))</f>
        <v/>
      </c>
      <c r="L77" s="16">
        <f>IF(F77="","",IF(G77="Car or van",J77*$C$6+K77*$G$6,IF(G77="Motorcycle",F77*$I$6,IF(G77="Bicycle",F77*$K$6,0))))</f>
        <v/>
      </c>
      <c r="M77" s="16">
        <f>IF(F77="","",N(H77)*F77*$M$6)</f>
        <v/>
      </c>
      <c r="N77" s="17">
        <f>IF(F77="","",N(L77)+N(M77))</f>
        <v/>
      </c>
    </row>
    <row r="78" ht="17" customHeight="1">
      <c r="B78" s="13" t="n"/>
      <c r="C78" s="14" t="n"/>
      <c r="D78" s="14" t="n"/>
      <c r="E78" s="14" t="n"/>
      <c r="F78" s="10" t="n"/>
      <c r="G78" s="14" t="n"/>
      <c r="H78" s="10" t="n"/>
      <c r="I78" s="15">
        <f>IF(G78&lt;&gt;"Car or van","",SUMIFS($F$12:F78,$G$12:G78,"Car or van"))</f>
        <v/>
      </c>
      <c r="J78" s="15">
        <f>IF(I78="","",MAX(0,MIN(I78,$E$6)-MIN(I78-F78,$E$6)))</f>
        <v/>
      </c>
      <c r="K78" s="15">
        <f>IF(I78="","",MAX(0,I78-MAX(I78-F78,$E$6)))</f>
        <v/>
      </c>
      <c r="L78" s="16">
        <f>IF(F78="","",IF(G78="Car or van",J78*$C$6+K78*$G$6,IF(G78="Motorcycle",F78*$I$6,IF(G78="Bicycle",F78*$K$6,0))))</f>
        <v/>
      </c>
      <c r="M78" s="16">
        <f>IF(F78="","",N(H78)*F78*$M$6)</f>
        <v/>
      </c>
      <c r="N78" s="17">
        <f>IF(F78="","",N(L78)+N(M78))</f>
        <v/>
      </c>
    </row>
    <row r="79" ht="17" customHeight="1">
      <c r="B79" s="13" t="n"/>
      <c r="C79" s="14" t="n"/>
      <c r="D79" s="14" t="n"/>
      <c r="E79" s="14" t="n"/>
      <c r="F79" s="10" t="n"/>
      <c r="G79" s="14" t="n"/>
      <c r="H79" s="10" t="n"/>
      <c r="I79" s="15">
        <f>IF(G79&lt;&gt;"Car or van","",SUMIFS($F$12:F79,$G$12:G79,"Car or van"))</f>
        <v/>
      </c>
      <c r="J79" s="15">
        <f>IF(I79="","",MAX(0,MIN(I79,$E$6)-MIN(I79-F79,$E$6)))</f>
        <v/>
      </c>
      <c r="K79" s="15">
        <f>IF(I79="","",MAX(0,I79-MAX(I79-F79,$E$6)))</f>
        <v/>
      </c>
      <c r="L79" s="16">
        <f>IF(F79="","",IF(G79="Car or van",J79*$C$6+K79*$G$6,IF(G79="Motorcycle",F79*$I$6,IF(G79="Bicycle",F79*$K$6,0))))</f>
        <v/>
      </c>
      <c r="M79" s="16">
        <f>IF(F79="","",N(H79)*F79*$M$6)</f>
        <v/>
      </c>
      <c r="N79" s="17">
        <f>IF(F79="","",N(L79)+N(M79))</f>
        <v/>
      </c>
    </row>
    <row r="80" ht="17" customHeight="1">
      <c r="B80" s="13" t="n"/>
      <c r="C80" s="14" t="n"/>
      <c r="D80" s="14" t="n"/>
      <c r="E80" s="14" t="n"/>
      <c r="F80" s="10" t="n"/>
      <c r="G80" s="14" t="n"/>
      <c r="H80" s="10" t="n"/>
      <c r="I80" s="15">
        <f>IF(G80&lt;&gt;"Car or van","",SUMIFS($F$12:F80,$G$12:G80,"Car or van"))</f>
        <v/>
      </c>
      <c r="J80" s="15">
        <f>IF(I80="","",MAX(0,MIN(I80,$E$6)-MIN(I80-F80,$E$6)))</f>
        <v/>
      </c>
      <c r="K80" s="15">
        <f>IF(I80="","",MAX(0,I80-MAX(I80-F80,$E$6)))</f>
        <v/>
      </c>
      <c r="L80" s="16">
        <f>IF(F80="","",IF(G80="Car or van",J80*$C$6+K80*$G$6,IF(G80="Motorcycle",F80*$I$6,IF(G80="Bicycle",F80*$K$6,0))))</f>
        <v/>
      </c>
      <c r="M80" s="16">
        <f>IF(F80="","",N(H80)*F80*$M$6)</f>
        <v/>
      </c>
      <c r="N80" s="17">
        <f>IF(F80="","",N(L80)+N(M80))</f>
        <v/>
      </c>
    </row>
    <row r="81" ht="17" customHeight="1">
      <c r="B81" s="13" t="n"/>
      <c r="C81" s="14" t="n"/>
      <c r="D81" s="14" t="n"/>
      <c r="E81" s="14" t="n"/>
      <c r="F81" s="10" t="n"/>
      <c r="G81" s="14" t="n"/>
      <c r="H81" s="10" t="n"/>
      <c r="I81" s="15">
        <f>IF(G81&lt;&gt;"Car or van","",SUMIFS($F$12:F81,$G$12:G81,"Car or van"))</f>
        <v/>
      </c>
      <c r="J81" s="15">
        <f>IF(I81="","",MAX(0,MIN(I81,$E$6)-MIN(I81-F81,$E$6)))</f>
        <v/>
      </c>
      <c r="K81" s="15">
        <f>IF(I81="","",MAX(0,I81-MAX(I81-F81,$E$6)))</f>
        <v/>
      </c>
      <c r="L81" s="16">
        <f>IF(F81="","",IF(G81="Car or van",J81*$C$6+K81*$G$6,IF(G81="Motorcycle",F81*$I$6,IF(G81="Bicycle",F81*$K$6,0))))</f>
        <v/>
      </c>
      <c r="M81" s="16">
        <f>IF(F81="","",N(H81)*F81*$M$6)</f>
        <v/>
      </c>
      <c r="N81" s="17">
        <f>IF(F81="","",N(L81)+N(M81))</f>
        <v/>
      </c>
    </row>
    <row r="82" ht="17" customHeight="1">
      <c r="B82" s="13" t="n"/>
      <c r="C82" s="14" t="n"/>
      <c r="D82" s="14" t="n"/>
      <c r="E82" s="14" t="n"/>
      <c r="F82" s="10" t="n"/>
      <c r="G82" s="14" t="n"/>
      <c r="H82" s="10" t="n"/>
      <c r="I82" s="15">
        <f>IF(G82&lt;&gt;"Car or van","",SUMIFS($F$12:F82,$G$12:G82,"Car or van"))</f>
        <v/>
      </c>
      <c r="J82" s="15">
        <f>IF(I82="","",MAX(0,MIN(I82,$E$6)-MIN(I82-F82,$E$6)))</f>
        <v/>
      </c>
      <c r="K82" s="15">
        <f>IF(I82="","",MAX(0,I82-MAX(I82-F82,$E$6)))</f>
        <v/>
      </c>
      <c r="L82" s="16">
        <f>IF(F82="","",IF(G82="Car or van",J82*$C$6+K82*$G$6,IF(G82="Motorcycle",F82*$I$6,IF(G82="Bicycle",F82*$K$6,0))))</f>
        <v/>
      </c>
      <c r="M82" s="16">
        <f>IF(F82="","",N(H82)*F82*$M$6)</f>
        <v/>
      </c>
      <c r="N82" s="17">
        <f>IF(F82="","",N(L82)+N(M82))</f>
        <v/>
      </c>
    </row>
    <row r="83" ht="17" customHeight="1">
      <c r="B83" s="13" t="n"/>
      <c r="C83" s="14" t="n"/>
      <c r="D83" s="14" t="n"/>
      <c r="E83" s="14" t="n"/>
      <c r="F83" s="10" t="n"/>
      <c r="G83" s="14" t="n"/>
      <c r="H83" s="10" t="n"/>
      <c r="I83" s="15">
        <f>IF(G83&lt;&gt;"Car or van","",SUMIFS($F$12:F83,$G$12:G83,"Car or van"))</f>
        <v/>
      </c>
      <c r="J83" s="15">
        <f>IF(I83="","",MAX(0,MIN(I83,$E$6)-MIN(I83-F83,$E$6)))</f>
        <v/>
      </c>
      <c r="K83" s="15">
        <f>IF(I83="","",MAX(0,I83-MAX(I83-F83,$E$6)))</f>
        <v/>
      </c>
      <c r="L83" s="16">
        <f>IF(F83="","",IF(G83="Car or van",J83*$C$6+K83*$G$6,IF(G83="Motorcycle",F83*$I$6,IF(G83="Bicycle",F83*$K$6,0))))</f>
        <v/>
      </c>
      <c r="M83" s="16">
        <f>IF(F83="","",N(H83)*F83*$M$6)</f>
        <v/>
      </c>
      <c r="N83" s="17">
        <f>IF(F83="","",N(L83)+N(M83))</f>
        <v/>
      </c>
    </row>
    <row r="84" ht="17" customHeight="1">
      <c r="B84" s="13" t="n"/>
      <c r="C84" s="14" t="n"/>
      <c r="D84" s="14" t="n"/>
      <c r="E84" s="14" t="n"/>
      <c r="F84" s="10" t="n"/>
      <c r="G84" s="14" t="n"/>
      <c r="H84" s="10" t="n"/>
      <c r="I84" s="15">
        <f>IF(G84&lt;&gt;"Car or van","",SUMIFS($F$12:F84,$G$12:G84,"Car or van"))</f>
        <v/>
      </c>
      <c r="J84" s="15">
        <f>IF(I84="","",MAX(0,MIN(I84,$E$6)-MIN(I84-F84,$E$6)))</f>
        <v/>
      </c>
      <c r="K84" s="15">
        <f>IF(I84="","",MAX(0,I84-MAX(I84-F84,$E$6)))</f>
        <v/>
      </c>
      <c r="L84" s="16">
        <f>IF(F84="","",IF(G84="Car or van",J84*$C$6+K84*$G$6,IF(G84="Motorcycle",F84*$I$6,IF(G84="Bicycle",F84*$K$6,0))))</f>
        <v/>
      </c>
      <c r="M84" s="16">
        <f>IF(F84="","",N(H84)*F84*$M$6)</f>
        <v/>
      </c>
      <c r="N84" s="17">
        <f>IF(F84="","",N(L84)+N(M84))</f>
        <v/>
      </c>
    </row>
    <row r="85" ht="17" customHeight="1">
      <c r="B85" s="13" t="n"/>
      <c r="C85" s="14" t="n"/>
      <c r="D85" s="14" t="n"/>
      <c r="E85" s="14" t="n"/>
      <c r="F85" s="10" t="n"/>
      <c r="G85" s="14" t="n"/>
      <c r="H85" s="10" t="n"/>
      <c r="I85" s="15">
        <f>IF(G85&lt;&gt;"Car or van","",SUMIFS($F$12:F85,$G$12:G85,"Car or van"))</f>
        <v/>
      </c>
      <c r="J85" s="15">
        <f>IF(I85="","",MAX(0,MIN(I85,$E$6)-MIN(I85-F85,$E$6)))</f>
        <v/>
      </c>
      <c r="K85" s="15">
        <f>IF(I85="","",MAX(0,I85-MAX(I85-F85,$E$6)))</f>
        <v/>
      </c>
      <c r="L85" s="16">
        <f>IF(F85="","",IF(G85="Car or van",J85*$C$6+K85*$G$6,IF(G85="Motorcycle",F85*$I$6,IF(G85="Bicycle",F85*$K$6,0))))</f>
        <v/>
      </c>
      <c r="M85" s="16">
        <f>IF(F85="","",N(H85)*F85*$M$6)</f>
        <v/>
      </c>
      <c r="N85" s="17">
        <f>IF(F85="","",N(L85)+N(M85))</f>
        <v/>
      </c>
    </row>
    <row r="86" ht="17" customHeight="1">
      <c r="B86" s="13" t="n"/>
      <c r="C86" s="14" t="n"/>
      <c r="D86" s="14" t="n"/>
      <c r="E86" s="14" t="n"/>
      <c r="F86" s="10" t="n"/>
      <c r="G86" s="14" t="n"/>
      <c r="H86" s="10" t="n"/>
      <c r="I86" s="15">
        <f>IF(G86&lt;&gt;"Car or van","",SUMIFS($F$12:F86,$G$12:G86,"Car or van"))</f>
        <v/>
      </c>
      <c r="J86" s="15">
        <f>IF(I86="","",MAX(0,MIN(I86,$E$6)-MIN(I86-F86,$E$6)))</f>
        <v/>
      </c>
      <c r="K86" s="15">
        <f>IF(I86="","",MAX(0,I86-MAX(I86-F86,$E$6)))</f>
        <v/>
      </c>
      <c r="L86" s="16">
        <f>IF(F86="","",IF(G86="Car or van",J86*$C$6+K86*$G$6,IF(G86="Motorcycle",F86*$I$6,IF(G86="Bicycle",F86*$K$6,0))))</f>
        <v/>
      </c>
      <c r="M86" s="16">
        <f>IF(F86="","",N(H86)*F86*$M$6)</f>
        <v/>
      </c>
      <c r="N86" s="17">
        <f>IF(F86="","",N(L86)+N(M86))</f>
        <v/>
      </c>
    </row>
    <row r="87" ht="17" customHeight="1">
      <c r="B87" s="13" t="n"/>
      <c r="C87" s="14" t="n"/>
      <c r="D87" s="14" t="n"/>
      <c r="E87" s="14" t="n"/>
      <c r="F87" s="10" t="n"/>
      <c r="G87" s="14" t="n"/>
      <c r="H87" s="10" t="n"/>
      <c r="I87" s="15">
        <f>IF(G87&lt;&gt;"Car or van","",SUMIFS($F$12:F87,$G$12:G87,"Car or van"))</f>
        <v/>
      </c>
      <c r="J87" s="15">
        <f>IF(I87="","",MAX(0,MIN(I87,$E$6)-MIN(I87-F87,$E$6)))</f>
        <v/>
      </c>
      <c r="K87" s="15">
        <f>IF(I87="","",MAX(0,I87-MAX(I87-F87,$E$6)))</f>
        <v/>
      </c>
      <c r="L87" s="16">
        <f>IF(F87="","",IF(G87="Car or van",J87*$C$6+K87*$G$6,IF(G87="Motorcycle",F87*$I$6,IF(G87="Bicycle",F87*$K$6,0))))</f>
        <v/>
      </c>
      <c r="M87" s="16">
        <f>IF(F87="","",N(H87)*F87*$M$6)</f>
        <v/>
      </c>
      <c r="N87" s="17">
        <f>IF(F87="","",N(L87)+N(M87))</f>
        <v/>
      </c>
    </row>
    <row r="88" ht="17" customHeight="1">
      <c r="B88" s="13" t="n"/>
      <c r="C88" s="14" t="n"/>
      <c r="D88" s="14" t="n"/>
      <c r="E88" s="14" t="n"/>
      <c r="F88" s="10" t="n"/>
      <c r="G88" s="14" t="n"/>
      <c r="H88" s="10" t="n"/>
      <c r="I88" s="15">
        <f>IF(G88&lt;&gt;"Car or van","",SUMIFS($F$12:F88,$G$12:G88,"Car or van"))</f>
        <v/>
      </c>
      <c r="J88" s="15">
        <f>IF(I88="","",MAX(0,MIN(I88,$E$6)-MIN(I88-F88,$E$6)))</f>
        <v/>
      </c>
      <c r="K88" s="15">
        <f>IF(I88="","",MAX(0,I88-MAX(I88-F88,$E$6)))</f>
        <v/>
      </c>
      <c r="L88" s="16">
        <f>IF(F88="","",IF(G88="Car or van",J88*$C$6+K88*$G$6,IF(G88="Motorcycle",F88*$I$6,IF(G88="Bicycle",F88*$K$6,0))))</f>
        <v/>
      </c>
      <c r="M88" s="16">
        <f>IF(F88="","",N(H88)*F88*$M$6)</f>
        <v/>
      </c>
      <c r="N88" s="17">
        <f>IF(F88="","",N(L88)+N(M88))</f>
        <v/>
      </c>
    </row>
    <row r="89" ht="17" customHeight="1">
      <c r="B89" s="13" t="n"/>
      <c r="C89" s="14" t="n"/>
      <c r="D89" s="14" t="n"/>
      <c r="E89" s="14" t="n"/>
      <c r="F89" s="10" t="n"/>
      <c r="G89" s="14" t="n"/>
      <c r="H89" s="10" t="n"/>
      <c r="I89" s="15">
        <f>IF(G89&lt;&gt;"Car or van","",SUMIFS($F$12:F89,$G$12:G89,"Car or van"))</f>
        <v/>
      </c>
      <c r="J89" s="15">
        <f>IF(I89="","",MAX(0,MIN(I89,$E$6)-MIN(I89-F89,$E$6)))</f>
        <v/>
      </c>
      <c r="K89" s="15">
        <f>IF(I89="","",MAX(0,I89-MAX(I89-F89,$E$6)))</f>
        <v/>
      </c>
      <c r="L89" s="16">
        <f>IF(F89="","",IF(G89="Car or van",J89*$C$6+K89*$G$6,IF(G89="Motorcycle",F89*$I$6,IF(G89="Bicycle",F89*$K$6,0))))</f>
        <v/>
      </c>
      <c r="M89" s="16">
        <f>IF(F89="","",N(H89)*F89*$M$6)</f>
        <v/>
      </c>
      <c r="N89" s="17">
        <f>IF(F89="","",N(L89)+N(M89))</f>
        <v/>
      </c>
    </row>
    <row r="90" ht="17" customHeight="1">
      <c r="B90" s="13" t="n"/>
      <c r="C90" s="14" t="n"/>
      <c r="D90" s="14" t="n"/>
      <c r="E90" s="14" t="n"/>
      <c r="F90" s="10" t="n"/>
      <c r="G90" s="14" t="n"/>
      <c r="H90" s="10" t="n"/>
      <c r="I90" s="15">
        <f>IF(G90&lt;&gt;"Car or van","",SUMIFS($F$12:F90,$G$12:G90,"Car or van"))</f>
        <v/>
      </c>
      <c r="J90" s="15">
        <f>IF(I90="","",MAX(0,MIN(I90,$E$6)-MIN(I90-F90,$E$6)))</f>
        <v/>
      </c>
      <c r="K90" s="15">
        <f>IF(I90="","",MAX(0,I90-MAX(I90-F90,$E$6)))</f>
        <v/>
      </c>
      <c r="L90" s="16">
        <f>IF(F90="","",IF(G90="Car or van",J90*$C$6+K90*$G$6,IF(G90="Motorcycle",F90*$I$6,IF(G90="Bicycle",F90*$K$6,0))))</f>
        <v/>
      </c>
      <c r="M90" s="16">
        <f>IF(F90="","",N(H90)*F90*$M$6)</f>
        <v/>
      </c>
      <c r="N90" s="17">
        <f>IF(F90="","",N(L90)+N(M90))</f>
        <v/>
      </c>
    </row>
    <row r="91" ht="17" customHeight="1">
      <c r="B91" s="13" t="n"/>
      <c r="C91" s="14" t="n"/>
      <c r="D91" s="14" t="n"/>
      <c r="E91" s="14" t="n"/>
      <c r="F91" s="10" t="n"/>
      <c r="G91" s="14" t="n"/>
      <c r="H91" s="10" t="n"/>
      <c r="I91" s="15">
        <f>IF(G91&lt;&gt;"Car or van","",SUMIFS($F$12:F91,$G$12:G91,"Car or van"))</f>
        <v/>
      </c>
      <c r="J91" s="15">
        <f>IF(I91="","",MAX(0,MIN(I91,$E$6)-MIN(I91-F91,$E$6)))</f>
        <v/>
      </c>
      <c r="K91" s="15">
        <f>IF(I91="","",MAX(0,I91-MAX(I91-F91,$E$6)))</f>
        <v/>
      </c>
      <c r="L91" s="16">
        <f>IF(F91="","",IF(G91="Car or van",J91*$C$6+K91*$G$6,IF(G91="Motorcycle",F91*$I$6,IF(G91="Bicycle",F91*$K$6,0))))</f>
        <v/>
      </c>
      <c r="M91" s="16">
        <f>IF(F91="","",N(H91)*F91*$M$6)</f>
        <v/>
      </c>
      <c r="N91" s="17">
        <f>IF(F91="","",N(L91)+N(M91))</f>
        <v/>
      </c>
    </row>
    <row r="92" ht="17" customHeight="1">
      <c r="B92" s="13" t="n"/>
      <c r="C92" s="14" t="n"/>
      <c r="D92" s="14" t="n"/>
      <c r="E92" s="14" t="n"/>
      <c r="F92" s="10" t="n"/>
      <c r="G92" s="14" t="n"/>
      <c r="H92" s="10" t="n"/>
      <c r="I92" s="15">
        <f>IF(G92&lt;&gt;"Car or van","",SUMIFS($F$12:F92,$G$12:G92,"Car or van"))</f>
        <v/>
      </c>
      <c r="J92" s="15">
        <f>IF(I92="","",MAX(0,MIN(I92,$E$6)-MIN(I92-F92,$E$6)))</f>
        <v/>
      </c>
      <c r="K92" s="15">
        <f>IF(I92="","",MAX(0,I92-MAX(I92-F92,$E$6)))</f>
        <v/>
      </c>
      <c r="L92" s="16">
        <f>IF(F92="","",IF(G92="Car or van",J92*$C$6+K92*$G$6,IF(G92="Motorcycle",F92*$I$6,IF(G92="Bicycle",F92*$K$6,0))))</f>
        <v/>
      </c>
      <c r="M92" s="16">
        <f>IF(F92="","",N(H92)*F92*$M$6)</f>
        <v/>
      </c>
      <c r="N92" s="17">
        <f>IF(F92="","",N(L92)+N(M92))</f>
        <v/>
      </c>
    </row>
    <row r="93" ht="17" customHeight="1">
      <c r="B93" s="13" t="n"/>
      <c r="C93" s="14" t="n"/>
      <c r="D93" s="14" t="n"/>
      <c r="E93" s="14" t="n"/>
      <c r="F93" s="10" t="n"/>
      <c r="G93" s="14" t="n"/>
      <c r="H93" s="10" t="n"/>
      <c r="I93" s="15">
        <f>IF(G93&lt;&gt;"Car or van","",SUMIFS($F$12:F93,$G$12:G93,"Car or van"))</f>
        <v/>
      </c>
      <c r="J93" s="15">
        <f>IF(I93="","",MAX(0,MIN(I93,$E$6)-MIN(I93-F93,$E$6)))</f>
        <v/>
      </c>
      <c r="K93" s="15">
        <f>IF(I93="","",MAX(0,I93-MAX(I93-F93,$E$6)))</f>
        <v/>
      </c>
      <c r="L93" s="16">
        <f>IF(F93="","",IF(G93="Car or van",J93*$C$6+K93*$G$6,IF(G93="Motorcycle",F93*$I$6,IF(G93="Bicycle",F93*$K$6,0))))</f>
        <v/>
      </c>
      <c r="M93" s="16">
        <f>IF(F93="","",N(H93)*F93*$M$6)</f>
        <v/>
      </c>
      <c r="N93" s="17">
        <f>IF(F93="","",N(L93)+N(M93))</f>
        <v/>
      </c>
    </row>
    <row r="94" ht="17" customHeight="1">
      <c r="B94" s="13" t="n"/>
      <c r="C94" s="14" t="n"/>
      <c r="D94" s="14" t="n"/>
      <c r="E94" s="14" t="n"/>
      <c r="F94" s="10" t="n"/>
      <c r="G94" s="14" t="n"/>
      <c r="H94" s="10" t="n"/>
      <c r="I94" s="15">
        <f>IF(G94&lt;&gt;"Car or van","",SUMIFS($F$12:F94,$G$12:G94,"Car or van"))</f>
        <v/>
      </c>
      <c r="J94" s="15">
        <f>IF(I94="","",MAX(0,MIN(I94,$E$6)-MIN(I94-F94,$E$6)))</f>
        <v/>
      </c>
      <c r="K94" s="15">
        <f>IF(I94="","",MAX(0,I94-MAX(I94-F94,$E$6)))</f>
        <v/>
      </c>
      <c r="L94" s="16">
        <f>IF(F94="","",IF(G94="Car or van",J94*$C$6+K94*$G$6,IF(G94="Motorcycle",F94*$I$6,IF(G94="Bicycle",F94*$K$6,0))))</f>
        <v/>
      </c>
      <c r="M94" s="16">
        <f>IF(F94="","",N(H94)*F94*$M$6)</f>
        <v/>
      </c>
      <c r="N94" s="17">
        <f>IF(F94="","",N(L94)+N(M94))</f>
        <v/>
      </c>
    </row>
    <row r="95" ht="17" customHeight="1">
      <c r="B95" s="13" t="n"/>
      <c r="C95" s="14" t="n"/>
      <c r="D95" s="14" t="n"/>
      <c r="E95" s="14" t="n"/>
      <c r="F95" s="10" t="n"/>
      <c r="G95" s="14" t="n"/>
      <c r="H95" s="10" t="n"/>
      <c r="I95" s="15">
        <f>IF(G95&lt;&gt;"Car or van","",SUMIFS($F$12:F95,$G$12:G95,"Car or van"))</f>
        <v/>
      </c>
      <c r="J95" s="15">
        <f>IF(I95="","",MAX(0,MIN(I95,$E$6)-MIN(I95-F95,$E$6)))</f>
        <v/>
      </c>
      <c r="K95" s="15">
        <f>IF(I95="","",MAX(0,I95-MAX(I95-F95,$E$6)))</f>
        <v/>
      </c>
      <c r="L95" s="16">
        <f>IF(F95="","",IF(G95="Car or van",J95*$C$6+K95*$G$6,IF(G95="Motorcycle",F95*$I$6,IF(G95="Bicycle",F95*$K$6,0))))</f>
        <v/>
      </c>
      <c r="M95" s="16">
        <f>IF(F95="","",N(H95)*F95*$M$6)</f>
        <v/>
      </c>
      <c r="N95" s="17">
        <f>IF(F95="","",N(L95)+N(M95))</f>
        <v/>
      </c>
    </row>
    <row r="96" ht="17" customHeight="1">
      <c r="B96" s="13" t="n"/>
      <c r="C96" s="14" t="n"/>
      <c r="D96" s="14" t="n"/>
      <c r="E96" s="14" t="n"/>
      <c r="F96" s="10" t="n"/>
      <c r="G96" s="14" t="n"/>
      <c r="H96" s="10" t="n"/>
      <c r="I96" s="15">
        <f>IF(G96&lt;&gt;"Car or van","",SUMIFS($F$12:F96,$G$12:G96,"Car or van"))</f>
        <v/>
      </c>
      <c r="J96" s="15">
        <f>IF(I96="","",MAX(0,MIN(I96,$E$6)-MIN(I96-F96,$E$6)))</f>
        <v/>
      </c>
      <c r="K96" s="15">
        <f>IF(I96="","",MAX(0,I96-MAX(I96-F96,$E$6)))</f>
        <v/>
      </c>
      <c r="L96" s="16">
        <f>IF(F96="","",IF(G96="Car or van",J96*$C$6+K96*$G$6,IF(G96="Motorcycle",F96*$I$6,IF(G96="Bicycle",F96*$K$6,0))))</f>
        <v/>
      </c>
      <c r="M96" s="16">
        <f>IF(F96="","",N(H96)*F96*$M$6)</f>
        <v/>
      </c>
      <c r="N96" s="17">
        <f>IF(F96="","",N(L96)+N(M96))</f>
        <v/>
      </c>
    </row>
    <row r="97" ht="17" customHeight="1">
      <c r="B97" s="13" t="n"/>
      <c r="C97" s="14" t="n"/>
      <c r="D97" s="14" t="n"/>
      <c r="E97" s="14" t="n"/>
      <c r="F97" s="10" t="n"/>
      <c r="G97" s="14" t="n"/>
      <c r="H97" s="10" t="n"/>
      <c r="I97" s="15">
        <f>IF(G97&lt;&gt;"Car or van","",SUMIFS($F$12:F97,$G$12:G97,"Car or van"))</f>
        <v/>
      </c>
      <c r="J97" s="15">
        <f>IF(I97="","",MAX(0,MIN(I97,$E$6)-MIN(I97-F97,$E$6)))</f>
        <v/>
      </c>
      <c r="K97" s="15">
        <f>IF(I97="","",MAX(0,I97-MAX(I97-F97,$E$6)))</f>
        <v/>
      </c>
      <c r="L97" s="16">
        <f>IF(F97="","",IF(G97="Car or van",J97*$C$6+K97*$G$6,IF(G97="Motorcycle",F97*$I$6,IF(G97="Bicycle",F97*$K$6,0))))</f>
        <v/>
      </c>
      <c r="M97" s="16">
        <f>IF(F97="","",N(H97)*F97*$M$6)</f>
        <v/>
      </c>
      <c r="N97" s="17">
        <f>IF(F97="","",N(L97)+N(M97))</f>
        <v/>
      </c>
    </row>
    <row r="98" ht="17" customHeight="1">
      <c r="B98" s="13" t="n"/>
      <c r="C98" s="14" t="n"/>
      <c r="D98" s="14" t="n"/>
      <c r="E98" s="14" t="n"/>
      <c r="F98" s="10" t="n"/>
      <c r="G98" s="14" t="n"/>
      <c r="H98" s="10" t="n"/>
      <c r="I98" s="15">
        <f>IF(G98&lt;&gt;"Car or van","",SUMIFS($F$12:F98,$G$12:G98,"Car or van"))</f>
        <v/>
      </c>
      <c r="J98" s="15">
        <f>IF(I98="","",MAX(0,MIN(I98,$E$6)-MIN(I98-F98,$E$6)))</f>
        <v/>
      </c>
      <c r="K98" s="15">
        <f>IF(I98="","",MAX(0,I98-MAX(I98-F98,$E$6)))</f>
        <v/>
      </c>
      <c r="L98" s="16">
        <f>IF(F98="","",IF(G98="Car or van",J98*$C$6+K98*$G$6,IF(G98="Motorcycle",F98*$I$6,IF(G98="Bicycle",F98*$K$6,0))))</f>
        <v/>
      </c>
      <c r="M98" s="16">
        <f>IF(F98="","",N(H98)*F98*$M$6)</f>
        <v/>
      </c>
      <c r="N98" s="17">
        <f>IF(F98="","",N(L98)+N(M98))</f>
        <v/>
      </c>
    </row>
    <row r="99" ht="17" customHeight="1">
      <c r="B99" s="13" t="n"/>
      <c r="C99" s="14" t="n"/>
      <c r="D99" s="14" t="n"/>
      <c r="E99" s="14" t="n"/>
      <c r="F99" s="10" t="n"/>
      <c r="G99" s="14" t="n"/>
      <c r="H99" s="10" t="n"/>
      <c r="I99" s="15">
        <f>IF(G99&lt;&gt;"Car or van","",SUMIFS($F$12:F99,$G$12:G99,"Car or van"))</f>
        <v/>
      </c>
      <c r="J99" s="15">
        <f>IF(I99="","",MAX(0,MIN(I99,$E$6)-MIN(I99-F99,$E$6)))</f>
        <v/>
      </c>
      <c r="K99" s="15">
        <f>IF(I99="","",MAX(0,I99-MAX(I99-F99,$E$6)))</f>
        <v/>
      </c>
      <c r="L99" s="16">
        <f>IF(F99="","",IF(G99="Car or van",J99*$C$6+K99*$G$6,IF(G99="Motorcycle",F99*$I$6,IF(G99="Bicycle",F99*$K$6,0))))</f>
        <v/>
      </c>
      <c r="M99" s="16">
        <f>IF(F99="","",N(H99)*F99*$M$6)</f>
        <v/>
      </c>
      <c r="N99" s="17">
        <f>IF(F99="","",N(L99)+N(M99))</f>
        <v/>
      </c>
    </row>
    <row r="100" ht="17" customHeight="1">
      <c r="B100" s="13" t="n"/>
      <c r="C100" s="14" t="n"/>
      <c r="D100" s="14" t="n"/>
      <c r="E100" s="14" t="n"/>
      <c r="F100" s="10" t="n"/>
      <c r="G100" s="14" t="n"/>
      <c r="H100" s="10" t="n"/>
      <c r="I100" s="15">
        <f>IF(G100&lt;&gt;"Car or van","",SUMIFS($F$12:F100,$G$12:G100,"Car or van"))</f>
        <v/>
      </c>
      <c r="J100" s="15">
        <f>IF(I100="","",MAX(0,MIN(I100,$E$6)-MIN(I100-F100,$E$6)))</f>
        <v/>
      </c>
      <c r="K100" s="15">
        <f>IF(I100="","",MAX(0,I100-MAX(I100-F100,$E$6)))</f>
        <v/>
      </c>
      <c r="L100" s="16">
        <f>IF(F100="","",IF(G100="Car or van",J100*$C$6+K100*$G$6,IF(G100="Motorcycle",F100*$I$6,IF(G100="Bicycle",F100*$K$6,0))))</f>
        <v/>
      </c>
      <c r="M100" s="16">
        <f>IF(F100="","",N(H100)*F100*$M$6)</f>
        <v/>
      </c>
      <c r="N100" s="17">
        <f>IF(F100="","",N(L100)+N(M100))</f>
        <v/>
      </c>
    </row>
    <row r="101" ht="17" customHeight="1">
      <c r="B101" s="13" t="n"/>
      <c r="C101" s="14" t="n"/>
      <c r="D101" s="14" t="n"/>
      <c r="E101" s="14" t="n"/>
      <c r="F101" s="10" t="n"/>
      <c r="G101" s="14" t="n"/>
      <c r="H101" s="10" t="n"/>
      <c r="I101" s="15">
        <f>IF(G101&lt;&gt;"Car or van","",SUMIFS($F$12:F101,$G$12:G101,"Car or van"))</f>
        <v/>
      </c>
      <c r="J101" s="15">
        <f>IF(I101="","",MAX(0,MIN(I101,$E$6)-MIN(I101-F101,$E$6)))</f>
        <v/>
      </c>
      <c r="K101" s="15">
        <f>IF(I101="","",MAX(0,I101-MAX(I101-F101,$E$6)))</f>
        <v/>
      </c>
      <c r="L101" s="16">
        <f>IF(F101="","",IF(G101="Car or van",J101*$C$6+K101*$G$6,IF(G101="Motorcycle",F101*$I$6,IF(G101="Bicycle",F101*$K$6,0))))</f>
        <v/>
      </c>
      <c r="M101" s="16">
        <f>IF(F101="","",N(H101)*F101*$M$6)</f>
        <v/>
      </c>
      <c r="N101" s="17">
        <f>IF(F101="","",N(L101)+N(M101))</f>
        <v/>
      </c>
    </row>
    <row r="102" ht="17" customHeight="1">
      <c r="B102" s="13" t="n"/>
      <c r="C102" s="14" t="n"/>
      <c r="D102" s="14" t="n"/>
      <c r="E102" s="14" t="n"/>
      <c r="F102" s="10" t="n"/>
      <c r="G102" s="14" t="n"/>
      <c r="H102" s="10" t="n"/>
      <c r="I102" s="15">
        <f>IF(G102&lt;&gt;"Car or van","",SUMIFS($F$12:F102,$G$12:G102,"Car or van"))</f>
        <v/>
      </c>
      <c r="J102" s="15">
        <f>IF(I102="","",MAX(0,MIN(I102,$E$6)-MIN(I102-F102,$E$6)))</f>
        <v/>
      </c>
      <c r="K102" s="15">
        <f>IF(I102="","",MAX(0,I102-MAX(I102-F102,$E$6)))</f>
        <v/>
      </c>
      <c r="L102" s="16">
        <f>IF(F102="","",IF(G102="Car or van",J102*$C$6+K102*$G$6,IF(G102="Motorcycle",F102*$I$6,IF(G102="Bicycle",F102*$K$6,0))))</f>
        <v/>
      </c>
      <c r="M102" s="16">
        <f>IF(F102="","",N(H102)*F102*$M$6)</f>
        <v/>
      </c>
      <c r="N102" s="17">
        <f>IF(F102="","",N(L102)+N(M102))</f>
        <v/>
      </c>
    </row>
    <row r="103" ht="17" customHeight="1">
      <c r="B103" s="13" t="n"/>
      <c r="C103" s="14" t="n"/>
      <c r="D103" s="14" t="n"/>
      <c r="E103" s="14" t="n"/>
      <c r="F103" s="10" t="n"/>
      <c r="G103" s="14" t="n"/>
      <c r="H103" s="10" t="n"/>
      <c r="I103" s="15">
        <f>IF(G103&lt;&gt;"Car or van","",SUMIFS($F$12:F103,$G$12:G103,"Car or van"))</f>
        <v/>
      </c>
      <c r="J103" s="15">
        <f>IF(I103="","",MAX(0,MIN(I103,$E$6)-MIN(I103-F103,$E$6)))</f>
        <v/>
      </c>
      <c r="K103" s="15">
        <f>IF(I103="","",MAX(0,I103-MAX(I103-F103,$E$6)))</f>
        <v/>
      </c>
      <c r="L103" s="16">
        <f>IF(F103="","",IF(G103="Car or van",J103*$C$6+K103*$G$6,IF(G103="Motorcycle",F103*$I$6,IF(G103="Bicycle",F103*$K$6,0))))</f>
        <v/>
      </c>
      <c r="M103" s="16">
        <f>IF(F103="","",N(H103)*F103*$M$6)</f>
        <v/>
      </c>
      <c r="N103" s="17">
        <f>IF(F103="","",N(L103)+N(M103))</f>
        <v/>
      </c>
    </row>
    <row r="104" ht="17" customHeight="1">
      <c r="B104" s="13" t="n"/>
      <c r="C104" s="14" t="n"/>
      <c r="D104" s="14" t="n"/>
      <c r="E104" s="14" t="n"/>
      <c r="F104" s="10" t="n"/>
      <c r="G104" s="14" t="n"/>
      <c r="H104" s="10" t="n"/>
      <c r="I104" s="15">
        <f>IF(G104&lt;&gt;"Car or van","",SUMIFS($F$12:F104,$G$12:G104,"Car or van"))</f>
        <v/>
      </c>
      <c r="J104" s="15">
        <f>IF(I104="","",MAX(0,MIN(I104,$E$6)-MIN(I104-F104,$E$6)))</f>
        <v/>
      </c>
      <c r="K104" s="15">
        <f>IF(I104="","",MAX(0,I104-MAX(I104-F104,$E$6)))</f>
        <v/>
      </c>
      <c r="L104" s="16">
        <f>IF(F104="","",IF(G104="Car or van",J104*$C$6+K104*$G$6,IF(G104="Motorcycle",F104*$I$6,IF(G104="Bicycle",F104*$K$6,0))))</f>
        <v/>
      </c>
      <c r="M104" s="16">
        <f>IF(F104="","",N(H104)*F104*$M$6)</f>
        <v/>
      </c>
      <c r="N104" s="17">
        <f>IF(F104="","",N(L104)+N(M104))</f>
        <v/>
      </c>
    </row>
    <row r="105" ht="17" customHeight="1">
      <c r="B105" s="13" t="n"/>
      <c r="C105" s="14" t="n"/>
      <c r="D105" s="14" t="n"/>
      <c r="E105" s="14" t="n"/>
      <c r="F105" s="10" t="n"/>
      <c r="G105" s="14" t="n"/>
      <c r="H105" s="10" t="n"/>
      <c r="I105" s="15">
        <f>IF(G105&lt;&gt;"Car or van","",SUMIFS($F$12:F105,$G$12:G105,"Car or van"))</f>
        <v/>
      </c>
      <c r="J105" s="15">
        <f>IF(I105="","",MAX(0,MIN(I105,$E$6)-MIN(I105-F105,$E$6)))</f>
        <v/>
      </c>
      <c r="K105" s="15">
        <f>IF(I105="","",MAX(0,I105-MAX(I105-F105,$E$6)))</f>
        <v/>
      </c>
      <c r="L105" s="16">
        <f>IF(F105="","",IF(G105="Car or van",J105*$C$6+K105*$G$6,IF(G105="Motorcycle",F105*$I$6,IF(G105="Bicycle",F105*$K$6,0))))</f>
        <v/>
      </c>
      <c r="M105" s="16">
        <f>IF(F105="","",N(H105)*F105*$M$6)</f>
        <v/>
      </c>
      <c r="N105" s="17">
        <f>IF(F105="","",N(L105)+N(M105))</f>
        <v/>
      </c>
    </row>
    <row r="106" ht="17" customHeight="1">
      <c r="B106" s="13" t="n"/>
      <c r="C106" s="14" t="n"/>
      <c r="D106" s="14" t="n"/>
      <c r="E106" s="14" t="n"/>
      <c r="F106" s="10" t="n"/>
      <c r="G106" s="14" t="n"/>
      <c r="H106" s="10" t="n"/>
      <c r="I106" s="15">
        <f>IF(G106&lt;&gt;"Car or van","",SUMIFS($F$12:F106,$G$12:G106,"Car or van"))</f>
        <v/>
      </c>
      <c r="J106" s="15">
        <f>IF(I106="","",MAX(0,MIN(I106,$E$6)-MIN(I106-F106,$E$6)))</f>
        <v/>
      </c>
      <c r="K106" s="15">
        <f>IF(I106="","",MAX(0,I106-MAX(I106-F106,$E$6)))</f>
        <v/>
      </c>
      <c r="L106" s="16">
        <f>IF(F106="","",IF(G106="Car or van",J106*$C$6+K106*$G$6,IF(G106="Motorcycle",F106*$I$6,IF(G106="Bicycle",F106*$K$6,0))))</f>
        <v/>
      </c>
      <c r="M106" s="16">
        <f>IF(F106="","",N(H106)*F106*$M$6)</f>
        <v/>
      </c>
      <c r="N106" s="17">
        <f>IF(F106="","",N(L106)+N(M106))</f>
        <v/>
      </c>
    </row>
    <row r="107" ht="17" customHeight="1">
      <c r="B107" s="13" t="n"/>
      <c r="C107" s="14" t="n"/>
      <c r="D107" s="14" t="n"/>
      <c r="E107" s="14" t="n"/>
      <c r="F107" s="10" t="n"/>
      <c r="G107" s="14" t="n"/>
      <c r="H107" s="10" t="n"/>
      <c r="I107" s="15">
        <f>IF(G107&lt;&gt;"Car or van","",SUMIFS($F$12:F107,$G$12:G107,"Car or van"))</f>
        <v/>
      </c>
      <c r="J107" s="15">
        <f>IF(I107="","",MAX(0,MIN(I107,$E$6)-MIN(I107-F107,$E$6)))</f>
        <v/>
      </c>
      <c r="K107" s="15">
        <f>IF(I107="","",MAX(0,I107-MAX(I107-F107,$E$6)))</f>
        <v/>
      </c>
      <c r="L107" s="16">
        <f>IF(F107="","",IF(G107="Car or van",J107*$C$6+K107*$G$6,IF(G107="Motorcycle",F107*$I$6,IF(G107="Bicycle",F107*$K$6,0))))</f>
        <v/>
      </c>
      <c r="M107" s="16">
        <f>IF(F107="","",N(H107)*F107*$M$6)</f>
        <v/>
      </c>
      <c r="N107" s="17">
        <f>IF(F107="","",N(L107)+N(M107))</f>
        <v/>
      </c>
    </row>
    <row r="108" ht="17" customHeight="1">
      <c r="B108" s="13" t="n"/>
      <c r="C108" s="14" t="n"/>
      <c r="D108" s="14" t="n"/>
      <c r="E108" s="14" t="n"/>
      <c r="F108" s="10" t="n"/>
      <c r="G108" s="14" t="n"/>
      <c r="H108" s="10" t="n"/>
      <c r="I108" s="15">
        <f>IF(G108&lt;&gt;"Car or van","",SUMIFS($F$12:F108,$G$12:G108,"Car or van"))</f>
        <v/>
      </c>
      <c r="J108" s="15">
        <f>IF(I108="","",MAX(0,MIN(I108,$E$6)-MIN(I108-F108,$E$6)))</f>
        <v/>
      </c>
      <c r="K108" s="15">
        <f>IF(I108="","",MAX(0,I108-MAX(I108-F108,$E$6)))</f>
        <v/>
      </c>
      <c r="L108" s="16">
        <f>IF(F108="","",IF(G108="Car or van",J108*$C$6+K108*$G$6,IF(G108="Motorcycle",F108*$I$6,IF(G108="Bicycle",F108*$K$6,0))))</f>
        <v/>
      </c>
      <c r="M108" s="16">
        <f>IF(F108="","",N(H108)*F108*$M$6)</f>
        <v/>
      </c>
      <c r="N108" s="17">
        <f>IF(F108="","",N(L108)+N(M108))</f>
        <v/>
      </c>
    </row>
    <row r="109" ht="17" customHeight="1">
      <c r="B109" s="13" t="n"/>
      <c r="C109" s="14" t="n"/>
      <c r="D109" s="14" t="n"/>
      <c r="E109" s="14" t="n"/>
      <c r="F109" s="10" t="n"/>
      <c r="G109" s="14" t="n"/>
      <c r="H109" s="10" t="n"/>
      <c r="I109" s="15">
        <f>IF(G109&lt;&gt;"Car or van","",SUMIFS($F$12:F109,$G$12:G109,"Car or van"))</f>
        <v/>
      </c>
      <c r="J109" s="15">
        <f>IF(I109="","",MAX(0,MIN(I109,$E$6)-MIN(I109-F109,$E$6)))</f>
        <v/>
      </c>
      <c r="K109" s="15">
        <f>IF(I109="","",MAX(0,I109-MAX(I109-F109,$E$6)))</f>
        <v/>
      </c>
      <c r="L109" s="16">
        <f>IF(F109="","",IF(G109="Car or van",J109*$C$6+K109*$G$6,IF(G109="Motorcycle",F109*$I$6,IF(G109="Bicycle",F109*$K$6,0))))</f>
        <v/>
      </c>
      <c r="M109" s="16">
        <f>IF(F109="","",N(H109)*F109*$M$6)</f>
        <v/>
      </c>
      <c r="N109" s="17">
        <f>IF(F109="","",N(L109)+N(M109))</f>
        <v/>
      </c>
    </row>
    <row r="110" ht="17" customHeight="1">
      <c r="B110" s="13" t="n"/>
      <c r="C110" s="14" t="n"/>
      <c r="D110" s="14" t="n"/>
      <c r="E110" s="14" t="n"/>
      <c r="F110" s="10" t="n"/>
      <c r="G110" s="14" t="n"/>
      <c r="H110" s="10" t="n"/>
      <c r="I110" s="15">
        <f>IF(G110&lt;&gt;"Car or van","",SUMIFS($F$12:F110,$G$12:G110,"Car or van"))</f>
        <v/>
      </c>
      <c r="J110" s="15">
        <f>IF(I110="","",MAX(0,MIN(I110,$E$6)-MIN(I110-F110,$E$6)))</f>
        <v/>
      </c>
      <c r="K110" s="15">
        <f>IF(I110="","",MAX(0,I110-MAX(I110-F110,$E$6)))</f>
        <v/>
      </c>
      <c r="L110" s="16">
        <f>IF(F110="","",IF(G110="Car or van",J110*$C$6+K110*$G$6,IF(G110="Motorcycle",F110*$I$6,IF(G110="Bicycle",F110*$K$6,0))))</f>
        <v/>
      </c>
      <c r="M110" s="16">
        <f>IF(F110="","",N(H110)*F110*$M$6)</f>
        <v/>
      </c>
      <c r="N110" s="17">
        <f>IF(F110="","",N(L110)+N(M110))</f>
        <v/>
      </c>
    </row>
    <row r="111" ht="17" customHeight="1">
      <c r="B111" s="13" t="n"/>
      <c r="C111" s="14" t="n"/>
      <c r="D111" s="14" t="n"/>
      <c r="E111" s="14" t="n"/>
      <c r="F111" s="10" t="n"/>
      <c r="G111" s="14" t="n"/>
      <c r="H111" s="10" t="n"/>
      <c r="I111" s="15">
        <f>IF(G111&lt;&gt;"Car or van","",SUMIFS($F$12:F111,$G$12:G111,"Car or van"))</f>
        <v/>
      </c>
      <c r="J111" s="15">
        <f>IF(I111="","",MAX(0,MIN(I111,$E$6)-MIN(I111-F111,$E$6)))</f>
        <v/>
      </c>
      <c r="K111" s="15">
        <f>IF(I111="","",MAX(0,I111-MAX(I111-F111,$E$6)))</f>
        <v/>
      </c>
      <c r="L111" s="16">
        <f>IF(F111="","",IF(G111="Car or van",J111*$C$6+K111*$G$6,IF(G111="Motorcycle",F111*$I$6,IF(G111="Bicycle",F111*$K$6,0))))</f>
        <v/>
      </c>
      <c r="M111" s="16">
        <f>IF(F111="","",N(H111)*F111*$M$6)</f>
        <v/>
      </c>
      <c r="N111" s="17">
        <f>IF(F111="","",N(L111)+N(M111))</f>
        <v/>
      </c>
    </row>
    <row r="112" ht="24" customHeight="1">
      <c r="B112" s="5" t="inlineStr">
        <is>
          <t>Totals</t>
        </is>
      </c>
      <c r="C112" s="18" t="n"/>
      <c r="D112" s="18" t="n"/>
      <c r="E112" s="18" t="n"/>
      <c r="F112" s="19">
        <f>SUM(F12:F111)</f>
        <v/>
      </c>
      <c r="G112" s="18" t="n"/>
      <c r="H112" s="18" t="n"/>
      <c r="I112" s="18" t="n"/>
      <c r="J112" s="19">
        <f>SUM(J12:J111)</f>
        <v/>
      </c>
      <c r="K112" s="19">
        <f>SUM(K12:K111)</f>
        <v/>
      </c>
      <c r="L112" s="20">
        <f>SUM(L12:L111)</f>
        <v/>
      </c>
      <c r="M112" s="20">
        <f>SUM(M12:M111)</f>
        <v/>
      </c>
      <c r="N112" s="20">
        <f>SUM(N12:N111)</f>
        <v/>
      </c>
    </row>
    <row r="114" ht="20" customHeight="1">
      <c r="B114" s="8" t="inlineStr">
        <is>
          <t>Car and van miles</t>
        </is>
      </c>
      <c r="D114" s="21">
        <f>SUMIFS(F12:F111,G12:G111,"Car or van")</f>
        <v/>
      </c>
      <c r="F114" s="11" t="inlineStr">
        <is>
          <t>Only these count towards the 10,000.</t>
        </is>
      </c>
    </row>
    <row r="115" ht="30" customHeight="1">
      <c r="B115" s="8" t="inlineStr">
        <is>
          <t>What the uplift is worth</t>
        </is>
      </c>
      <c r="D115" s="22">
        <f>J112*($C$6-0.45)</f>
        <v/>
      </c>
      <c r="F115" s="11" t="inlineStr">
        <is>
          <t>The difference between the new 55p rate and the old 45p one on your first 10,000 miles. A calculator that has not been updated is quietly costing you this.</t>
        </is>
      </c>
    </row>
  </sheetData>
  <mergeCells count="5">
    <mergeCell ref="B5:N5"/>
    <mergeCell ref="F114:N114"/>
    <mergeCell ref="B8:N8"/>
    <mergeCell ref="F115:N115"/>
    <mergeCell ref="B3:N3"/>
  </mergeCells>
  <dataValidations count="1">
    <dataValidation sqref="G12:G111" showDropDown="0" showInputMessage="0" showErrorMessage="1" allowBlank="1" errorTitle="Not on the list" error="Car or van, Motorcycle or Bicycle." type="list">
      <formula1>"Car or van,Motorcycle,Bicycle"</formula1>
    </dataValidation>
  </dataValidation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E35"/>
  <sheetViews>
    <sheetView showGridLines="0" workbookViewId="0">
      <selection activeCell="A1" sqref="A1"/>
    </sheetView>
  </sheetViews>
  <sheetFormatPr baseColWidth="8" defaultRowHeight="15"/>
  <cols>
    <col width="3" customWidth="1" min="1" max="1"/>
    <col width="40" customWidth="1" min="2" max="2"/>
    <col width="15" customWidth="1" min="3" max="3"/>
    <col width="3" customWidth="1" min="4" max="4"/>
    <col width="54" customWidth="1" min="5" max="5"/>
  </cols>
  <sheetData>
    <row r="2">
      <c r="B2" s="3" t="inlineStr">
        <is>
          <t>Working from home</t>
        </is>
      </c>
    </row>
    <row r="3" ht="26" customHeight="1">
      <c r="B3" s="4" t="inlineStr">
        <is>
          <t>Three routes. Fill in the ones open to you and the sheet says which is worth most. Yellow cells are yours to fill in. Grey cells work themselves out, so leave them alone unless you mean to change the method.</t>
        </is>
      </c>
    </row>
    <row r="5">
      <c r="B5" s="5" t="inlineStr">
        <is>
          <t>Route one: sole trader, simplified</t>
        </is>
      </c>
      <c r="C5" s="6" t="n"/>
      <c r="D5" s="6" t="n"/>
      <c r="E5" s="7" t="n"/>
    </row>
    <row r="6" ht="40" customHeight="1">
      <c r="B6" s="8" t="inlineStr">
        <is>
          <t>Hours a month worked from home</t>
        </is>
      </c>
      <c r="C6" s="10" t="n">
        <v>130</v>
      </c>
      <c r="E6" s="11" t="inlineStr">
        <is>
          <t>£10 for 25 to 50 hours, £18 for 51 to 100, £26 for 101 or more. Under 25 hours a month, simplified expenses do not apply.</t>
        </is>
      </c>
    </row>
    <row r="7" ht="20" customHeight="1">
      <c r="B7" s="8" t="inlineStr">
        <is>
          <t>Monthly allowance</t>
        </is>
      </c>
      <c r="C7" s="16">
        <f>IF(C6&lt;25,0,IF(C6&lt;=50,10,IF(C6&lt;=100,18,26)))</f>
        <v/>
      </c>
    </row>
    <row r="8" ht="20" customHeight="1">
      <c r="B8" s="23" t="inlineStr">
        <is>
          <t>A year</t>
        </is>
      </c>
      <c r="C8" s="17">
        <f>C7*12</f>
        <v/>
      </c>
    </row>
    <row r="10">
      <c r="B10" s="5" t="inlineStr">
        <is>
          <t>Route two: sole trader, actual costs</t>
        </is>
      </c>
      <c r="C10" s="6" t="n"/>
      <c r="D10" s="6" t="n"/>
      <c r="E10" s="7" t="n"/>
    </row>
    <row r="11" ht="26" customHeight="1">
      <c r="B11" s="8" t="inlineStr">
        <is>
          <t>Rent, or mortgage INTEREST only</t>
        </is>
      </c>
      <c r="C11" s="24" t="n">
        <v>12000</v>
      </c>
      <c r="E11" s="11" t="inlineStr">
        <is>
          <t>Capital repayments are never claimable, only the interest.</t>
        </is>
      </c>
    </row>
    <row r="12" ht="20" customHeight="1">
      <c r="B12" s="8" t="inlineStr">
        <is>
          <t>Council tax</t>
        </is>
      </c>
      <c r="C12" s="24" t="n">
        <v>1800</v>
      </c>
    </row>
    <row r="13" ht="20" customHeight="1">
      <c r="B13" s="8" t="inlineStr">
        <is>
          <t>Gas and electricity</t>
        </is>
      </c>
      <c r="C13" s="24" t="n">
        <v>1500</v>
      </c>
    </row>
    <row r="14" ht="20" customHeight="1">
      <c r="B14" s="8" t="inlineStr">
        <is>
          <t>Water</t>
        </is>
      </c>
      <c r="C14" s="24" t="n">
        <v>400</v>
      </c>
    </row>
    <row r="15" ht="20" customHeight="1">
      <c r="B15" s="8" t="inlineStr">
        <is>
          <t>Home insurance</t>
        </is>
      </c>
      <c r="C15" s="24" t="n">
        <v>300</v>
      </c>
    </row>
    <row r="16" ht="20" customHeight="1">
      <c r="B16" s="8" t="inlineStr">
        <is>
          <t>Broadband and phone line</t>
        </is>
      </c>
      <c r="C16" s="24" t="n">
        <v>480</v>
      </c>
    </row>
    <row r="17" ht="20" customHeight="1">
      <c r="B17" s="23" t="inlineStr">
        <is>
          <t>Total household running costs</t>
        </is>
      </c>
      <c r="C17" s="17">
        <f>SUM(C11:C16)</f>
        <v/>
      </c>
    </row>
    <row r="18" ht="26" customHeight="1">
      <c r="B18" s="8" t="inlineStr">
        <is>
          <t>Rooms in the home</t>
        </is>
      </c>
      <c r="C18" s="10" t="n">
        <v>5</v>
      </c>
      <c r="E18" s="11" t="inlineStr">
        <is>
          <t>Living rooms and bedrooms. Kitchens, bathrooms and hallways are normally left out.</t>
        </is>
      </c>
    </row>
    <row r="19" ht="20" customHeight="1">
      <c r="B19" s="8" t="inlineStr">
        <is>
          <t>Rooms used for business</t>
        </is>
      </c>
      <c r="C19" s="10" t="n">
        <v>1</v>
      </c>
    </row>
    <row r="20" ht="40" customHeight="1">
      <c r="B20" s="8" t="inlineStr">
        <is>
          <t>Hours a week used for business</t>
        </is>
      </c>
      <c r="C20" s="10" t="n">
        <v>30</v>
      </c>
      <c r="E20" s="11" t="inlineStr">
        <is>
          <t>Out of the 168 hours in a week, which is the cautious basis. A room used only in working hours can support a higher proportion, but be ready to explain it.</t>
        </is>
      </c>
    </row>
    <row r="21" ht="20" customHeight="1">
      <c r="B21" s="8" t="inlineStr">
        <is>
          <t>Share of the home</t>
        </is>
      </c>
      <c r="C21" s="25">
        <f>IFERROR(C19/C18,"")</f>
        <v/>
      </c>
    </row>
    <row r="22" ht="20" customHeight="1">
      <c r="B22" s="8" t="inlineStr">
        <is>
          <t>Share of the time</t>
        </is>
      </c>
      <c r="C22" s="25">
        <f>IFERROR(C20/168,"")</f>
        <v/>
      </c>
    </row>
    <row r="23" ht="20" customHeight="1">
      <c r="B23" s="23" t="inlineStr">
        <is>
          <t>Claim for the year</t>
        </is>
      </c>
      <c r="C23" s="17">
        <f>C17*C21*C22</f>
        <v/>
      </c>
    </row>
    <row r="25">
      <c r="B25" s="5" t="inlineStr">
        <is>
          <t>Route three: your company reimburses you</t>
        </is>
      </c>
      <c r="C25" s="6" t="n"/>
      <c r="D25" s="6" t="n"/>
      <c r="E25" s="7" t="n"/>
    </row>
    <row r="26" ht="40" customHeight="1">
      <c r="B26" s="8" t="inlineStr">
        <is>
          <t>Weekly amount</t>
        </is>
      </c>
      <c r="C26" s="24" t="n">
        <v>6</v>
      </c>
      <c r="E26" s="11" t="inlineStr">
        <is>
          <t>Payable free of tax and National Insurance with no records, where there is a genuine requirement to work from home. More is possible under a formal licence agreement with evidence.</t>
        </is>
      </c>
    </row>
    <row r="27" ht="20" customHeight="1">
      <c r="B27" s="8" t="inlineStr">
        <is>
          <t>Weeks</t>
        </is>
      </c>
      <c r="C27" s="10" t="n">
        <v>52</v>
      </c>
    </row>
    <row r="28" ht="20" customHeight="1">
      <c r="B28" s="23" t="inlineStr">
        <is>
          <t>A year</t>
        </is>
      </c>
      <c r="C28" s="17">
        <f>C26*C27</f>
        <v/>
      </c>
    </row>
    <row r="30">
      <c r="B30" s="5" t="inlineStr">
        <is>
          <t>Which route is worth most</t>
        </is>
      </c>
      <c r="C30" s="6" t="n"/>
      <c r="D30" s="6" t="n"/>
      <c r="E30" s="7" t="n"/>
    </row>
    <row r="31" ht="20" customHeight="1">
      <c r="B31" s="8" t="inlineStr">
        <is>
          <t>Your situation</t>
        </is>
      </c>
      <c r="C31" s="14" t="inlineStr">
        <is>
          <t>Sole trader</t>
        </is>
      </c>
    </row>
    <row r="32" ht="40" customHeight="1">
      <c r="B32" s="23" t="inlineStr">
        <is>
          <t>Best available to you</t>
        </is>
      </c>
      <c r="C32" s="22">
        <f>IF(C31="Company director",C28,MAX(C8,C23))</f>
        <v/>
      </c>
      <c r="E32" s="11" t="inlineStr">
        <is>
          <t>A sole trader picks the better of simplified and actual. A director uses the company route, because the personal deduction was abolished in April 2026.</t>
        </is>
      </c>
    </row>
    <row r="33" ht="20" customHeight="1">
      <c r="B33" s="8" t="inlineStr">
        <is>
          <t>Simplified would have given</t>
        </is>
      </c>
      <c r="C33" s="16">
        <f>C8</f>
        <v/>
      </c>
    </row>
    <row r="34" ht="20" customHeight="1">
      <c r="B34" s="8" t="inlineStr">
        <is>
          <t>Actual costs give</t>
        </is>
      </c>
      <c r="C34" s="16">
        <f>C23</f>
        <v/>
      </c>
    </row>
    <row r="35" ht="34" customHeight="1">
      <c r="B35" s="8" t="inlineStr">
        <is>
          <t>Doing the work is worth</t>
        </is>
      </c>
      <c r="C35" s="26">
        <f>MAX(0,C23-C8)</f>
        <v/>
      </c>
      <c r="E35" s="11" t="inlineStr">
        <is>
          <t>The difference between keeping the records and taking the flat rate. If this is small, take the flat rate and spend the time elsewhere.</t>
        </is>
      </c>
    </row>
  </sheetData>
  <mergeCells count="5">
    <mergeCell ref="B30:E30"/>
    <mergeCell ref="B25:E25"/>
    <mergeCell ref="B3:E3"/>
    <mergeCell ref="B5:E5"/>
    <mergeCell ref="B10:E10"/>
  </mergeCells>
  <dataValidations count="1">
    <dataValidation sqref="C31" showDropDown="0" showInputMessage="0" showErrorMessage="1" allowBlank="1" errorTitle="Not on the list" error="Sole trader or Company director." type="list">
      <formula1>"Sole trader,Company director"</formula1>
    </dataValidation>
  </dataValidations>
  <pageMargins left="0.75" right="0.75" top="1" bottom="1" header="0.5" footer="0.5"/>
</worksheet>
</file>

<file path=xl/worksheets/sheet4.xml><?xml version="1.0" encoding="utf-8"?>
<worksheet xmlns="http://schemas.openxmlformats.org/spreadsheetml/2006/main">
  <sheetPr>
    <tabColor rgb="001F2A37"/>
    <outlinePr summaryBelow="1" summaryRight="1"/>
    <pageSetUpPr/>
  </sheetPr>
  <dimension ref="B2:E18"/>
  <sheetViews>
    <sheetView showGridLines="0" workbookViewId="0">
      <selection activeCell="A1" sqref="A1"/>
    </sheetView>
  </sheetViews>
  <sheetFormatPr baseColWidth="8" defaultRowHeight="15"/>
  <cols>
    <col width="3" customWidth="1" min="1" max="1"/>
    <col width="40" customWidth="1" min="2" max="2"/>
    <col width="16" customWidth="1" min="3" max="3"/>
    <col width="3" customWidth="1" min="4" max="4"/>
    <col width="54" customWidth="1" min="5" max="5"/>
  </cols>
  <sheetData>
    <row r="2">
      <c r="B2" s="3" t="inlineStr">
        <is>
          <t>What it all adds up to</t>
        </is>
      </c>
    </row>
    <row r="3" ht="22" customHeight="1">
      <c r="B3" s="4" t="inlineStr">
        <is>
          <t>Both logs, and what they are worth once tax is taken into account.</t>
        </is>
      </c>
    </row>
    <row r="5">
      <c r="B5" s="5" t="inlineStr">
        <is>
          <t>The claim</t>
        </is>
      </c>
      <c r="C5" s="6" t="n"/>
      <c r="D5" s="6" t="n"/>
      <c r="E5" s="7" t="n"/>
    </row>
    <row r="6" ht="20" customHeight="1">
      <c r="B6" s="8" t="inlineStr">
        <is>
          <t>Mileage</t>
        </is>
      </c>
      <c r="C6" s="16">
        <f>'Mileage log'!N112</f>
        <v/>
      </c>
    </row>
    <row r="7" ht="20" customHeight="1">
      <c r="B7" s="8" t="inlineStr">
        <is>
          <t>Working from home</t>
        </is>
      </c>
      <c r="C7" s="16">
        <f>'Home office'!C32</f>
        <v/>
      </c>
    </row>
    <row r="8" ht="22" customHeight="1">
      <c r="B8" s="23" t="inlineStr">
        <is>
          <t>Total for the year</t>
        </is>
      </c>
      <c r="C8" s="17">
        <f>C6+C7</f>
        <v/>
      </c>
    </row>
    <row r="10">
      <c r="B10" s="5" t="inlineStr">
        <is>
          <t>What it saves you</t>
        </is>
      </c>
      <c r="C10" s="6" t="n"/>
      <c r="D10" s="6" t="n"/>
      <c r="E10" s="7" t="n"/>
    </row>
    <row r="11" ht="52" customHeight="1">
      <c r="B11" s="8" t="inlineStr">
        <is>
          <t>Your marginal rate</t>
        </is>
      </c>
      <c r="C11" s="27" t="n">
        <v>0.42</v>
      </c>
      <c r="E11" s="11" t="inlineStr">
        <is>
          <t>A higher-rate sole trader saves 40% income tax plus 2% Class 4, so 42%. At basic rate it is nearer 26%. A company saves at its corporation tax rate, which is 19%, 25% or 26.5% in the marginal band.</t>
        </is>
      </c>
    </row>
    <row r="12" ht="22" customHeight="1">
      <c r="B12" s="23" t="inlineStr">
        <is>
          <t>Tax saved</t>
        </is>
      </c>
      <c r="C12" s="22">
        <f>C8*C11</f>
        <v/>
      </c>
    </row>
    <row r="14">
      <c r="B14" s="5" t="inlineStr">
        <is>
          <t>Worth knowing</t>
        </is>
      </c>
      <c r="C14" s="6" t="n"/>
      <c r="D14" s="6" t="n"/>
      <c r="E14" s="7" t="n"/>
    </row>
    <row r="15" ht="30" customHeight="1">
      <c r="B15" s="8" t="inlineStr">
        <is>
          <t>If you had used the old 45p rate</t>
        </is>
      </c>
      <c r="C15" s="16">
        <f>C8-'Mileage log'!D115</f>
        <v/>
      </c>
      <c r="E15" s="11" t="inlineStr">
        <is>
          <t>The mileage uplift alone is worth the difference, and it is backdated to 6 April 2026.</t>
        </is>
      </c>
    </row>
    <row r="16" ht="30" customHeight="1">
      <c r="B16" s="8" t="inlineStr">
        <is>
          <t>Passenger payments claimed</t>
        </is>
      </c>
      <c r="C16" s="16">
        <f>'Mileage log'!M112</f>
        <v/>
      </c>
      <c r="E16" s="11" t="inlineStr">
        <is>
          <t>5p a mile for each colleague carried. If this is zero and you ever travel with someone, it should not be.</t>
        </is>
      </c>
    </row>
    <row r="18" ht="44" customHeight="1">
      <c r="B18" s="11" t="inlineStr">
        <is>
          <t>Keep the log as you go rather than rebuilding it in January. A contemporaneous record with a reason against each journey is worth far more than a reconstructed one, both in what you can justify and in what you remember to claim at all.</t>
        </is>
      </c>
    </row>
  </sheetData>
  <mergeCells count="5">
    <mergeCell ref="B18:E18"/>
    <mergeCell ref="B3:E3"/>
    <mergeCell ref="B5:E5"/>
    <mergeCell ref="B10:E10"/>
    <mergeCell ref="B14:E14"/>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Mileage and Home Office Log</dc:title>
  <dc:subject xmlns:dc="http://purl.org/dc/elements/1.1/">Business mileage at the 2026/27 rates and working from home, three routes</dc:subject>
  <dcterms:created xmlns:dcterms="http://purl.org/dc/terms/" xmlns:xsi="http://www.w3.org/2001/XMLSchema-instance" xsi:type="dcterms:W3CDTF">2026-08-08T16:47:29Z</dcterms:created>
  <dcterms:modified xmlns:dcterms="http://purl.org/dc/terms/" xmlns:xsi="http://www.w3.org/2001/XMLSchema-instance" xsi:type="dcterms:W3CDTF">2026-08-08T16:47:29Z</dcterms:modified>
</cp:coreProperties>
</file>