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Channels" sheetId="2" state="visible" r:id="rId2"/>
    <sheet xmlns:r="http://schemas.openxmlformats.org/officeDocument/2006/relationships" name="P and L" sheetId="3" state="visible" r:id="rId3"/>
    <sheet xmlns:r="http://schemas.openxmlformats.org/officeDocument/2006/relationships" name="By channel" sheetId="4" state="visible" r:id="rId4"/>
    <sheet xmlns:r="http://schemas.openxmlformats.org/officeDocument/2006/relationships" name="VAT watch" sheetId="5" state="visible" r:id="rId5"/>
    <sheet xmlns:r="http://schemas.openxmlformats.org/officeDocument/2006/relationships" name="Charts" sheetId="6" state="visible" r:id="rId6"/>
  </sheets>
  <definedNames/>
  <calcPr calcId="124519" fullCalcOnLoad="1"/>
</workbook>
</file>

<file path=xl/styles.xml><?xml version="1.0" encoding="utf-8"?>
<styleSheet xmlns="http://schemas.openxmlformats.org/spreadsheetml/2006/main">
  <numFmts count="4">
    <numFmt numFmtId="164" formatCode="yyyy-mm-dd"/>
    <numFmt numFmtId="165" formatCode="mmm yyyy"/>
    <numFmt numFmtId="166" formatCode="£#,##0.00"/>
    <numFmt numFmtId="167"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i val="1"/>
      <color rgb="006B7280"/>
      <sz val="9"/>
    </font>
    <font>
      <name val="Calibri"/>
      <b val="1"/>
      <color rgb="001F2A37"/>
      <sz val="20"/>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32">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applyAlignment="1" pivotButton="0" quotePrefix="0" xfId="0">
      <alignment vertical="center" wrapText="1"/>
    </xf>
    <xf numFmtId="3" fontId="7" fillId="3" borderId="1" pivotButton="0" quotePrefix="0" xfId="0"/>
    <xf numFmtId="165" fontId="7" fillId="3" borderId="1" pivotButton="0" quotePrefix="0" xfId="0"/>
    <xf numFmtId="0" fontId="7" fillId="3" borderId="1" pivotButton="0" quotePrefix="0" xfId="0"/>
    <xf numFmtId="166" fontId="7" fillId="3" borderId="1" pivotButton="0" quotePrefix="0" xfId="0"/>
    <xf numFmtId="0" fontId="7" fillId="4" borderId="1" pivotButton="0" quotePrefix="0" xfId="0"/>
    <xf numFmtId="0" fontId="6" fillId="2" borderId="0" pivotButton="0" quotePrefix="0" xfId="0"/>
    <xf numFmtId="0" fontId="0" fillId="2" borderId="0" pivotButton="0" quotePrefix="0" xfId="0"/>
    <xf numFmtId="0" fontId="7" fillId="0" borderId="0" pivotButton="0" quotePrefix="0" xfId="0"/>
    <xf numFmtId="166" fontId="8" fillId="4" borderId="1" pivotButton="0" quotePrefix="0" xfId="0"/>
    <xf numFmtId="3" fontId="8" fillId="4" borderId="1" pivotButton="0" quotePrefix="0" xfId="0"/>
    <xf numFmtId="0" fontId="3" fillId="0" borderId="0" applyAlignment="1" pivotButton="0" quotePrefix="0" xfId="0">
      <alignment vertical="center" wrapText="1"/>
    </xf>
    <xf numFmtId="167" fontId="8" fillId="4" borderId="1" pivotButton="0" quotePrefix="0" xfId="0"/>
    <xf numFmtId="0" fontId="8" fillId="0" borderId="1" pivotButton="0" quotePrefix="0" xfId="0"/>
    <xf numFmtId="165" fontId="8" fillId="0" borderId="1" pivotButton="0" quotePrefix="0" xfId="0"/>
    <xf numFmtId="166" fontId="7" fillId="4" borderId="1" pivotButton="0" quotePrefix="0" xfId="0"/>
    <xf numFmtId="167" fontId="0" fillId="4" borderId="0" pivotButton="0" quotePrefix="0" xfId="0"/>
    <xf numFmtId="0" fontId="8" fillId="4" borderId="1" pivotButton="0" quotePrefix="0" xfId="0"/>
    <xf numFmtId="167" fontId="7" fillId="4" borderId="1" pivotButton="0" quotePrefix="0" xfId="0"/>
    <xf numFmtId="3" fontId="7" fillId="4" borderId="1" pivotButton="0" quotePrefix="0" xfId="0"/>
    <xf numFmtId="0" fontId="9" fillId="0" borderId="0" pivotButton="0" quotePrefix="0" xfId="0"/>
    <xf numFmtId="166" fontId="8" fillId="3" borderId="1" pivotButton="0" quotePrefix="0" xfId="0"/>
    <xf numFmtId="165" fontId="7" fillId="4" borderId="1" pivotButton="0" quotePrefix="0" xfId="0"/>
    <xf numFmtId="165" fontId="8" fillId="4" borderId="1" pivotButton="0" quotePrefix="0" xfId="0"/>
    <xf numFmtId="0" fontId="8" fillId="0" borderId="0" pivotButton="0" quotePrefix="0" xfId="0"/>
    <xf numFmtId="166" fontId="10" fillId="4" borderId="1" pivotButton="0" quotePrefix="0" xfId="0"/>
  </cellXfs>
  <cellStyles count="1">
    <cellStyle name="Normal" xfId="0" builtinId="0" hidden="0"/>
  </cellStyles>
  <dxfs count="3">
    <dxf>
      <fill>
        <patternFill patternType="solid">
          <fgColor rgb="00FAE9EB"/>
        </patternFill>
      </fill>
    </dxf>
    <dxf>
      <fill>
        <patternFill patternType="solid">
          <fgColor rgb="00FAF0E2"/>
        </patternFill>
      </fill>
    </dxf>
    <dxf>
      <fill>
        <patternFill patternType="solid">
          <fgColor rgb="00E6F2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Rolling twelve month turnover against the payouts</a:t>
            </a:r>
          </a:p>
        </rich>
      </tx>
    </title>
    <plotArea>
      <lineChart>
        <grouping val="standard"/>
        <ser>
          <idx val="0"/>
          <order val="0"/>
          <tx>
            <strRef>
              <f>'Charts'!B7</f>
            </strRef>
          </tx>
          <spPr>
            <a:ln xmlns:a="http://schemas.openxmlformats.org/drawingml/2006/main">
              <a:prstDash val="solid"/>
            </a:ln>
          </spPr>
          <marker>
            <symbol val="none"/>
            <spPr>
              <a:ln xmlns:a="http://schemas.openxmlformats.org/drawingml/2006/main">
                <a:prstDash val="solid"/>
              </a:ln>
            </spPr>
          </marker>
          <cat>
            <numRef>
              <f>'Charts'!$A$8:$A$20</f>
            </numRef>
          </cat>
          <val>
            <numRef>
              <f>'Charts'!$B$8:$B$20</f>
            </numRef>
          </val>
        </ser>
        <ser>
          <idx val="1"/>
          <order val="1"/>
          <tx>
            <strRef>
              <f>'Charts'!C7</f>
            </strRef>
          </tx>
          <spPr>
            <a:ln xmlns:a="http://schemas.openxmlformats.org/drawingml/2006/main">
              <a:prstDash val="solid"/>
            </a:ln>
          </spPr>
          <marker>
            <symbol val="none"/>
            <spPr>
              <a:ln xmlns:a="http://schemas.openxmlformats.org/drawingml/2006/main">
                <a:prstDash val="solid"/>
              </a:ln>
            </spPr>
          </marker>
          <cat>
            <numRef>
              <f>'Charts'!$A$8:$A$20</f>
            </numRef>
          </cat>
          <val>
            <numRef>
              <f>'Charts'!$C$8:$C$20</f>
            </numRef>
          </val>
        </ser>
        <ser>
          <idx val="2"/>
          <order val="2"/>
          <tx>
            <strRef>
              <f>'Charts'!D7</f>
            </strRef>
          </tx>
          <spPr>
            <a:ln xmlns:a="http://schemas.openxmlformats.org/drawingml/2006/main">
              <a:prstDash val="solid"/>
            </a:ln>
          </spPr>
          <marker>
            <symbol val="none"/>
            <spPr>
              <a:ln xmlns:a="http://schemas.openxmlformats.org/drawingml/2006/main">
                <a:prstDash val="solid"/>
              </a:ln>
            </spPr>
          </marker>
          <cat>
            <numRef>
              <f>'Charts'!$A$8:$A$20</f>
            </numRef>
          </cat>
          <val>
            <numRef>
              <f>'Charts'!$D$8:$D$20</f>
            </numRef>
          </val>
        </ser>
        <axId val="10"/>
        <axId val="100"/>
      </line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Rolling 12 months</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What each channel puts towards the overheads</a:t>
            </a:r>
          </a:p>
        </rich>
      </tx>
    </title>
    <plotArea>
      <barChart>
        <barDir val="col"/>
        <grouping val="clustered"/>
        <ser>
          <idx val="0"/>
          <order val="0"/>
          <tx>
            <strRef>
              <f>'Charts'!B22</f>
            </strRef>
          </tx>
          <spPr>
            <a:ln xmlns:a="http://schemas.openxmlformats.org/drawingml/2006/main">
              <a:prstDash val="solid"/>
            </a:ln>
          </spPr>
          <cat>
            <numRef>
              <f>'Charts'!$A$23:$A$26</f>
            </numRef>
          </cat>
          <val>
            <numRef>
              <f>'Charts'!$B$23:$B$26</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5</col>
      <colOff>0</colOff>
      <row>6</row>
      <rowOff>0</rowOff>
    </from>
    <ext cx="720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25</row>
      <rowOff>0</rowOff>
    </from>
    <ext cx="720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F38"/>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Multi-Channel Bookkeeping Template</t>
        </is>
      </c>
    </row>
    <row r="3">
      <c r="A3" s="3" t="inlineStr">
        <is>
          <t>Four channels in one P and L, and the VAT test done on the figure HMRC measures rather than the one your bank statement shows.</t>
        </is>
      </c>
    </row>
    <row r="5">
      <c r="B5" s="4" t="inlineStr">
        <is>
          <t>The deposit is not the sale</t>
        </is>
      </c>
    </row>
    <row r="6" ht="30" customHeight="1">
      <c r="B6" s="5" t="inlineStr">
        <is>
          <t>Every marketplace pays you net. Amazon, eBay and Etsy take their fees out before the money reaches you, so the deposit is the sale less the fees, and often less the advertising too.</t>
        </is>
      </c>
    </row>
    <row r="8" ht="45" customHeight="1">
      <c r="B8" s="5" t="inlineStr">
        <is>
          <t>Book the deposit as turnover and you understate the sales and the costs by exactly the same amount. The profit still comes out right. That is precisely why the mistake survives: the bottom line looks fine, so nobody checks.</t>
        </is>
      </c>
    </row>
    <row r="10">
      <c r="B10" s="4" t="inlineStr">
        <is>
          <t>Turnover does not come out right</t>
        </is>
      </c>
    </row>
    <row r="11" ht="45" customHeight="1">
      <c r="B11" s="5" t="inlineStr">
        <is>
          <t>And turnover is the figure the £90,000 VAT registration threshold is measured on. Not profit, not the money banked. The VAT-exclusive value of what you sold, less refunds, in any rolling twelve months.</t>
        </is>
      </c>
    </row>
    <row r="13" ht="45" customHeight="1">
      <c r="B13" s="5" t="inlineStr">
        <is>
          <t>On the figures in this workbook the year's taxable turnover is £95,980 and the payouts are £76,552. Books kept on the deposits show a business over eighteen thousand pounds under the threshold. The real figure went over it, and the VAT watch sheet names the month.</t>
        </is>
      </c>
    </row>
    <row r="15" ht="45" customHeight="1">
      <c r="B15" s="5" t="inlineStr">
        <is>
          <t>Registering late is expensive in a particular way. The VAT on the sales you already made is still due, and you cannot go back and charge it to those customers, so it comes out of margin you have already spent.</t>
        </is>
      </c>
    </row>
    <row r="17">
      <c r="B17" s="4" t="inlineStr">
        <is>
          <t>What each sheet does</t>
        </is>
      </c>
    </row>
    <row r="18" ht="30" customHeight="1">
      <c r="B18" s="5" t="inlineStr">
        <is>
          <t>Channels is the only sheet you type into. One row a month a channel, forty-eight rows a year. Take the figures from each platform's own reports, not from your bank.</t>
        </is>
      </c>
    </row>
    <row r="20" ht="30" customHeight="1">
      <c r="B20" s="5" t="inlineStr">
        <is>
          <t>P and L consolidates all four into one statement, month by month, with every line as a share of turnover.</t>
        </is>
      </c>
    </row>
    <row r="22" ht="60" customHeight="1">
      <c r="B22" s="5" t="inlineStr">
        <is>
          <t>By channel ranks the four twice, because there are two questions and they do not have the same answer. Which channel brings in the most money, and which keeps the most of every pound. On the worked figures Amazon is the biggest earner and has the worst margin of the four, which is what paying for volume looks like.</t>
        </is>
      </c>
    </row>
    <row r="24">
      <c r="B24" s="4" t="inlineStr">
        <is>
          <t>One number worth sitting with</t>
        </is>
      </c>
    </row>
    <row r="25" ht="45" customHeight="1">
      <c r="B25" s="5" t="inlineStr">
        <is>
          <t>On these figures the platforms take £21,328 in fees and advertising across the year, and the business makes £13,828 before tax. The channels are paid more than the owner is. That is not unusual and it is not by itself wrong, but it should be a decision rather than a surprise.</t>
        </is>
      </c>
    </row>
    <row r="27" ht="45" customHeight="1">
      <c r="B27" s="5" t="inlineStr">
        <is>
          <t>VAT watch runs the rolling twelve month test twice: once on the real figure and once on what your books would show if you banked the payouts. The gap between the two lines is the whole point.</t>
        </is>
      </c>
    </row>
    <row r="29">
      <c r="B29" s="4" t="inlineStr">
        <is>
          <t>Where the numbers come from</t>
        </is>
      </c>
    </row>
    <row r="30" ht="45" customHeight="1">
      <c r="B30" s="5" t="inlineStr">
        <is>
          <t>Amazon: the Date Range Summary report, not the payout figure. eBay: the Transaction report or the seller financial statement. Etsy: the monthly CSV statement. Your own site: the platform's own sales report, gross of processing fees.</t>
        </is>
      </c>
    </row>
    <row r="32" ht="15" customHeight="1">
      <c r="B32" s="5" t="inlineStr">
        <is>
          <t>All four report gross sales somewhere. It is rarely the number they show you first.</t>
        </is>
      </c>
    </row>
    <row r="34">
      <c r="B34" s="4" t="inlineStr">
        <is>
          <t>The demo figures</t>
        </is>
      </c>
    </row>
    <row r="35" ht="45" customHeight="1">
      <c r="B35" s="5" t="inlineStr">
        <is>
          <t>Every cell is filled with a worked year so you can see the shape before you clear it. The fee rates per channel are the shares the Where to Sell Calculator produces on the same order, so the two resources agree by construction.</t>
        </is>
      </c>
    </row>
    <row r="37">
      <c r="B37" s="4" t="inlineStr">
        <is>
          <t>General information</t>
        </is>
      </c>
    </row>
    <row r="38" ht="30" customHeight="1">
      <c r="B38"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66"/>
  <sheetViews>
    <sheetView showGridLines="0" workbookViewId="0">
      <pane xSplit="3" ySplit="7" topLeftCell="D8" activePane="bottomRight" state="frozen"/>
      <selection pane="topRight"/>
      <selection pane="bottomLeft"/>
      <selection pane="bottomRight" activeCell="A1" sqref="A1"/>
    </sheetView>
  </sheetViews>
  <sheetFormatPr baseColWidth="8" defaultRowHeight="15"/>
  <cols>
    <col width="9" customWidth="1" min="1" max="1"/>
    <col width="11" customWidth="1" min="2" max="2"/>
    <col width="12" customWidth="1" min="3" max="3"/>
    <col width="12" customWidth="1" min="4" max="4"/>
    <col width="11" customWidth="1" min="5" max="5"/>
    <col width="13" customWidth="1" min="6" max="6"/>
    <col width="13" customWidth="1" min="7" max="7"/>
    <col width="12" customWidth="1" min="8" max="8"/>
    <col width="15" customWidth="1" min="9" max="9"/>
    <col width="14" customWidth="1" min="10" max="10"/>
  </cols>
  <sheetData>
    <row r="1">
      <c r="A1" s="1" t="inlineStr">
        <is>
          <t>ZAZEN TAX</t>
        </is>
      </c>
    </row>
    <row r="2">
      <c r="A2" s="2" t="inlineStr">
        <is>
          <t>One row a month a channel</t>
        </is>
      </c>
    </row>
    <row r="5">
      <c r="A5" s="3" t="inlineStr">
        <is>
          <t>Yellow is yours. Take these from each platform's own reports, gross of fees. Everything else in the workbook is driven from this sheet.</t>
        </is>
      </c>
    </row>
    <row r="7" ht="28" customHeight="1">
      <c r="A7" s="6" t="inlineStr">
        <is>
          <t>Month no</t>
        </is>
      </c>
      <c r="B7" s="6" t="inlineStr">
        <is>
          <t>Month</t>
        </is>
      </c>
      <c r="C7" s="6" t="inlineStr">
        <is>
          <t>Channel</t>
        </is>
      </c>
      <c r="D7" s="6" t="inlineStr">
        <is>
          <t>Gross sales</t>
        </is>
      </c>
      <c r="E7" s="6" t="inlineStr">
        <is>
          <t>Refunds</t>
        </is>
      </c>
      <c r="F7" s="6" t="inlineStr">
        <is>
          <t>Cost of goods</t>
        </is>
      </c>
      <c r="G7" s="6" t="inlineStr">
        <is>
          <t>Platform fees</t>
        </is>
      </c>
      <c r="H7" s="6" t="inlineStr">
        <is>
          <t>Advertising</t>
        </is>
      </c>
      <c r="I7" s="6" t="inlineStr">
        <is>
          <t>Post and packing</t>
        </is>
      </c>
      <c r="J7" s="6" t="inlineStr">
        <is>
          <t>Key</t>
        </is>
      </c>
    </row>
    <row r="8">
      <c r="A8" s="7" t="n">
        <v>1</v>
      </c>
      <c r="B8" s="8" t="n">
        <v>46113</v>
      </c>
      <c r="C8" s="9" t="inlineStr">
        <is>
          <t>Amazon</t>
        </is>
      </c>
      <c r="D8" s="10" t="n">
        <v>2725.74</v>
      </c>
      <c r="E8" s="10" t="n">
        <v>109.03</v>
      </c>
      <c r="F8" s="10" t="n">
        <v>1199.33</v>
      </c>
      <c r="G8" s="10" t="n">
        <v>629.65</v>
      </c>
      <c r="H8" s="10" t="n">
        <v>186.5</v>
      </c>
      <c r="I8" s="10" t="n">
        <v>21.52</v>
      </c>
      <c r="J8" s="11">
        <f>A8&amp;"|"&amp;C8</f>
        <v/>
      </c>
    </row>
    <row r="9">
      <c r="A9" s="7" t="n">
        <v>1</v>
      </c>
      <c r="B9" s="8" t="n">
        <v>46113</v>
      </c>
      <c r="C9" s="9" t="inlineStr">
        <is>
          <t>eBay</t>
        </is>
      </c>
      <c r="D9" s="10" t="n">
        <v>1721.52</v>
      </c>
      <c r="E9" s="10" t="n">
        <v>43.04</v>
      </c>
      <c r="F9" s="10" t="n">
        <v>757.47</v>
      </c>
      <c r="G9" s="10" t="n">
        <v>247.9</v>
      </c>
      <c r="H9" s="10" t="n">
        <v>64.56</v>
      </c>
      <c r="I9" s="10" t="n">
        <v>222.36</v>
      </c>
      <c r="J9" s="11">
        <f>A9&amp;"|"&amp;C9</f>
        <v/>
      </c>
    </row>
    <row r="10">
      <c r="A10" s="7" t="n">
        <v>1</v>
      </c>
      <c r="B10" s="8" t="n">
        <v>46113</v>
      </c>
      <c r="C10" s="9" t="inlineStr">
        <is>
          <t>Etsy</t>
        </is>
      </c>
      <c r="D10" s="10" t="n">
        <v>1506.33</v>
      </c>
      <c r="E10" s="10" t="n">
        <v>30.13</v>
      </c>
      <c r="F10" s="10" t="n">
        <v>662.79</v>
      </c>
      <c r="G10" s="10" t="n">
        <v>183.77</v>
      </c>
      <c r="H10" s="10" t="n">
        <v>50.21</v>
      </c>
      <c r="I10" s="10" t="n">
        <v>193.67</v>
      </c>
      <c r="J10" s="11">
        <f>A10&amp;"|"&amp;C10</f>
        <v/>
      </c>
    </row>
    <row r="11">
      <c r="A11" s="7" t="n">
        <v>1</v>
      </c>
      <c r="B11" s="8" t="n">
        <v>46113</v>
      </c>
      <c r="C11" s="9" t="inlineStr">
        <is>
          <t>Own site</t>
        </is>
      </c>
      <c r="D11" s="10" t="n">
        <v>1147.68</v>
      </c>
      <c r="E11" s="10" t="n">
        <v>34.43</v>
      </c>
      <c r="F11" s="10" t="n">
        <v>504.98</v>
      </c>
      <c r="G11" s="10" t="n">
        <v>30.99</v>
      </c>
      <c r="H11" s="10" t="n">
        <v>136.29</v>
      </c>
      <c r="I11" s="10" t="n">
        <v>150.63</v>
      </c>
      <c r="J11" s="11">
        <f>A11&amp;"|"&amp;C11</f>
        <v/>
      </c>
    </row>
    <row r="12">
      <c r="A12" s="7" t="n">
        <v>2</v>
      </c>
      <c r="B12" s="8" t="n">
        <v>46143</v>
      </c>
      <c r="C12" s="9" t="inlineStr">
        <is>
          <t>Amazon</t>
        </is>
      </c>
      <c r="D12" s="10" t="n">
        <v>2725.74</v>
      </c>
      <c r="E12" s="10" t="n">
        <v>109.03</v>
      </c>
      <c r="F12" s="10" t="n">
        <v>1199.33</v>
      </c>
      <c r="G12" s="10" t="n">
        <v>629.65</v>
      </c>
      <c r="H12" s="10" t="n">
        <v>186.5</v>
      </c>
      <c r="I12" s="10" t="n">
        <v>21.52</v>
      </c>
      <c r="J12" s="11">
        <f>A12&amp;"|"&amp;C12</f>
        <v/>
      </c>
    </row>
    <row r="13">
      <c r="A13" s="7" t="n">
        <v>2</v>
      </c>
      <c r="B13" s="8" t="n">
        <v>46143</v>
      </c>
      <c r="C13" s="9" t="inlineStr">
        <is>
          <t>eBay</t>
        </is>
      </c>
      <c r="D13" s="10" t="n">
        <v>1721.52</v>
      </c>
      <c r="E13" s="10" t="n">
        <v>43.04</v>
      </c>
      <c r="F13" s="10" t="n">
        <v>757.47</v>
      </c>
      <c r="G13" s="10" t="n">
        <v>247.9</v>
      </c>
      <c r="H13" s="10" t="n">
        <v>64.56</v>
      </c>
      <c r="I13" s="10" t="n">
        <v>222.36</v>
      </c>
      <c r="J13" s="11">
        <f>A13&amp;"|"&amp;C13</f>
        <v/>
      </c>
    </row>
    <row r="14">
      <c r="A14" s="7" t="n">
        <v>2</v>
      </c>
      <c r="B14" s="8" t="n">
        <v>46143</v>
      </c>
      <c r="C14" s="9" t="inlineStr">
        <is>
          <t>Etsy</t>
        </is>
      </c>
      <c r="D14" s="10" t="n">
        <v>1506.33</v>
      </c>
      <c r="E14" s="10" t="n">
        <v>30.13</v>
      </c>
      <c r="F14" s="10" t="n">
        <v>662.79</v>
      </c>
      <c r="G14" s="10" t="n">
        <v>183.77</v>
      </c>
      <c r="H14" s="10" t="n">
        <v>50.21</v>
      </c>
      <c r="I14" s="10" t="n">
        <v>193.67</v>
      </c>
      <c r="J14" s="11">
        <f>A14&amp;"|"&amp;C14</f>
        <v/>
      </c>
    </row>
    <row r="15">
      <c r="A15" s="7" t="n">
        <v>2</v>
      </c>
      <c r="B15" s="8" t="n">
        <v>46143</v>
      </c>
      <c r="C15" s="9" t="inlineStr">
        <is>
          <t>Own site</t>
        </is>
      </c>
      <c r="D15" s="10" t="n">
        <v>1147.68</v>
      </c>
      <c r="E15" s="10" t="n">
        <v>34.43</v>
      </c>
      <c r="F15" s="10" t="n">
        <v>504.98</v>
      </c>
      <c r="G15" s="10" t="n">
        <v>30.99</v>
      </c>
      <c r="H15" s="10" t="n">
        <v>136.29</v>
      </c>
      <c r="I15" s="10" t="n">
        <v>150.63</v>
      </c>
      <c r="J15" s="11">
        <f>A15&amp;"|"&amp;C15</f>
        <v/>
      </c>
    </row>
    <row r="16">
      <c r="A16" s="7" t="n">
        <v>3</v>
      </c>
      <c r="B16" s="8" t="n">
        <v>46174</v>
      </c>
      <c r="C16" s="9" t="inlineStr">
        <is>
          <t>Amazon</t>
        </is>
      </c>
      <c r="D16" s="10" t="n">
        <v>2565.4</v>
      </c>
      <c r="E16" s="10" t="n">
        <v>102.62</v>
      </c>
      <c r="F16" s="10" t="n">
        <v>1128.78</v>
      </c>
      <c r="G16" s="10" t="n">
        <v>592.61</v>
      </c>
      <c r="H16" s="10" t="n">
        <v>175.53</v>
      </c>
      <c r="I16" s="10" t="n">
        <v>20.25</v>
      </c>
      <c r="J16" s="11">
        <f>A16&amp;"|"&amp;C16</f>
        <v/>
      </c>
    </row>
    <row r="17">
      <c r="A17" s="7" t="n">
        <v>3</v>
      </c>
      <c r="B17" s="8" t="n">
        <v>46174</v>
      </c>
      <c r="C17" s="9" t="inlineStr">
        <is>
          <t>eBay</t>
        </is>
      </c>
      <c r="D17" s="10" t="n">
        <v>1620.25</v>
      </c>
      <c r="E17" s="10" t="n">
        <v>40.51</v>
      </c>
      <c r="F17" s="10" t="n">
        <v>712.91</v>
      </c>
      <c r="G17" s="10" t="n">
        <v>233.32</v>
      </c>
      <c r="H17" s="10" t="n">
        <v>60.76</v>
      </c>
      <c r="I17" s="10" t="n">
        <v>209.28</v>
      </c>
      <c r="J17" s="11">
        <f>A17&amp;"|"&amp;C17</f>
        <v/>
      </c>
    </row>
    <row r="18">
      <c r="A18" s="7" t="n">
        <v>3</v>
      </c>
      <c r="B18" s="8" t="n">
        <v>46174</v>
      </c>
      <c r="C18" s="9" t="inlineStr">
        <is>
          <t>Etsy</t>
        </is>
      </c>
      <c r="D18" s="10" t="n">
        <v>1417.72</v>
      </c>
      <c r="E18" s="10" t="n">
        <v>28.35</v>
      </c>
      <c r="F18" s="10" t="n">
        <v>623.8</v>
      </c>
      <c r="G18" s="10" t="n">
        <v>172.96</v>
      </c>
      <c r="H18" s="10" t="n">
        <v>47.26</v>
      </c>
      <c r="I18" s="10" t="n">
        <v>182.28</v>
      </c>
      <c r="J18" s="11">
        <f>A18&amp;"|"&amp;C18</f>
        <v/>
      </c>
    </row>
    <row r="19">
      <c r="A19" s="7" t="n">
        <v>3</v>
      </c>
      <c r="B19" s="8" t="n">
        <v>46174</v>
      </c>
      <c r="C19" s="9" t="inlineStr">
        <is>
          <t>Own site</t>
        </is>
      </c>
      <c r="D19" s="10" t="n">
        <v>1080.17</v>
      </c>
      <c r="E19" s="10" t="n">
        <v>32.41</v>
      </c>
      <c r="F19" s="10" t="n">
        <v>475.27</v>
      </c>
      <c r="G19" s="10" t="n">
        <v>29.16</v>
      </c>
      <c r="H19" s="10" t="n">
        <v>128.27</v>
      </c>
      <c r="I19" s="10" t="n">
        <v>141.77</v>
      </c>
      <c r="J19" s="11">
        <f>A19&amp;"|"&amp;C19</f>
        <v/>
      </c>
    </row>
    <row r="20">
      <c r="A20" s="7" t="n">
        <v>4</v>
      </c>
      <c r="B20" s="8" t="n">
        <v>46204</v>
      </c>
      <c r="C20" s="9" t="inlineStr">
        <is>
          <t>Amazon</t>
        </is>
      </c>
      <c r="D20" s="10" t="n">
        <v>2565.4</v>
      </c>
      <c r="E20" s="10" t="n">
        <v>102.62</v>
      </c>
      <c r="F20" s="10" t="n">
        <v>1128.78</v>
      </c>
      <c r="G20" s="10" t="n">
        <v>592.61</v>
      </c>
      <c r="H20" s="10" t="n">
        <v>175.53</v>
      </c>
      <c r="I20" s="10" t="n">
        <v>20.25</v>
      </c>
      <c r="J20" s="11">
        <f>A20&amp;"|"&amp;C20</f>
        <v/>
      </c>
    </row>
    <row r="21">
      <c r="A21" s="7" t="n">
        <v>4</v>
      </c>
      <c r="B21" s="8" t="n">
        <v>46204</v>
      </c>
      <c r="C21" s="9" t="inlineStr">
        <is>
          <t>eBay</t>
        </is>
      </c>
      <c r="D21" s="10" t="n">
        <v>1620.25</v>
      </c>
      <c r="E21" s="10" t="n">
        <v>40.51</v>
      </c>
      <c r="F21" s="10" t="n">
        <v>712.91</v>
      </c>
      <c r="G21" s="10" t="n">
        <v>233.32</v>
      </c>
      <c r="H21" s="10" t="n">
        <v>60.76</v>
      </c>
      <c r="I21" s="10" t="n">
        <v>209.28</v>
      </c>
      <c r="J21" s="11">
        <f>A21&amp;"|"&amp;C21</f>
        <v/>
      </c>
    </row>
    <row r="22">
      <c r="A22" s="7" t="n">
        <v>4</v>
      </c>
      <c r="B22" s="8" t="n">
        <v>46204</v>
      </c>
      <c r="C22" s="9" t="inlineStr">
        <is>
          <t>Etsy</t>
        </is>
      </c>
      <c r="D22" s="10" t="n">
        <v>1417.72</v>
      </c>
      <c r="E22" s="10" t="n">
        <v>28.35</v>
      </c>
      <c r="F22" s="10" t="n">
        <v>623.8</v>
      </c>
      <c r="G22" s="10" t="n">
        <v>172.96</v>
      </c>
      <c r="H22" s="10" t="n">
        <v>47.26</v>
      </c>
      <c r="I22" s="10" t="n">
        <v>182.28</v>
      </c>
      <c r="J22" s="11">
        <f>A22&amp;"|"&amp;C22</f>
        <v/>
      </c>
    </row>
    <row r="23">
      <c r="A23" s="7" t="n">
        <v>4</v>
      </c>
      <c r="B23" s="8" t="n">
        <v>46204</v>
      </c>
      <c r="C23" s="9" t="inlineStr">
        <is>
          <t>Own site</t>
        </is>
      </c>
      <c r="D23" s="10" t="n">
        <v>1080.17</v>
      </c>
      <c r="E23" s="10" t="n">
        <v>32.41</v>
      </c>
      <c r="F23" s="10" t="n">
        <v>475.27</v>
      </c>
      <c r="G23" s="10" t="n">
        <v>29.16</v>
      </c>
      <c r="H23" s="10" t="n">
        <v>128.27</v>
      </c>
      <c r="I23" s="10" t="n">
        <v>141.77</v>
      </c>
      <c r="J23" s="11">
        <f>A23&amp;"|"&amp;C23</f>
        <v/>
      </c>
    </row>
    <row r="24">
      <c r="A24" s="7" t="n">
        <v>5</v>
      </c>
      <c r="B24" s="8" t="n">
        <v>46235</v>
      </c>
      <c r="C24" s="9" t="inlineStr">
        <is>
          <t>Amazon</t>
        </is>
      </c>
      <c r="D24" s="10" t="n">
        <v>2725.74</v>
      </c>
      <c r="E24" s="10" t="n">
        <v>109.03</v>
      </c>
      <c r="F24" s="10" t="n">
        <v>1199.33</v>
      </c>
      <c r="G24" s="10" t="n">
        <v>629.65</v>
      </c>
      <c r="H24" s="10" t="n">
        <v>186.5</v>
      </c>
      <c r="I24" s="10" t="n">
        <v>21.52</v>
      </c>
      <c r="J24" s="11">
        <f>A24&amp;"|"&amp;C24</f>
        <v/>
      </c>
    </row>
    <row r="25">
      <c r="A25" s="7" t="n">
        <v>5</v>
      </c>
      <c r="B25" s="8" t="n">
        <v>46235</v>
      </c>
      <c r="C25" s="9" t="inlineStr">
        <is>
          <t>eBay</t>
        </is>
      </c>
      <c r="D25" s="10" t="n">
        <v>1721.52</v>
      </c>
      <c r="E25" s="10" t="n">
        <v>43.04</v>
      </c>
      <c r="F25" s="10" t="n">
        <v>757.47</v>
      </c>
      <c r="G25" s="10" t="n">
        <v>247.9</v>
      </c>
      <c r="H25" s="10" t="n">
        <v>64.56</v>
      </c>
      <c r="I25" s="10" t="n">
        <v>222.36</v>
      </c>
      <c r="J25" s="11">
        <f>A25&amp;"|"&amp;C25</f>
        <v/>
      </c>
    </row>
    <row r="26">
      <c r="A26" s="7" t="n">
        <v>5</v>
      </c>
      <c r="B26" s="8" t="n">
        <v>46235</v>
      </c>
      <c r="C26" s="9" t="inlineStr">
        <is>
          <t>Etsy</t>
        </is>
      </c>
      <c r="D26" s="10" t="n">
        <v>1506.33</v>
      </c>
      <c r="E26" s="10" t="n">
        <v>30.13</v>
      </c>
      <c r="F26" s="10" t="n">
        <v>662.79</v>
      </c>
      <c r="G26" s="10" t="n">
        <v>183.77</v>
      </c>
      <c r="H26" s="10" t="n">
        <v>50.21</v>
      </c>
      <c r="I26" s="10" t="n">
        <v>193.67</v>
      </c>
      <c r="J26" s="11">
        <f>A26&amp;"|"&amp;C26</f>
        <v/>
      </c>
    </row>
    <row r="27">
      <c r="A27" s="7" t="n">
        <v>5</v>
      </c>
      <c r="B27" s="8" t="n">
        <v>46235</v>
      </c>
      <c r="C27" s="9" t="inlineStr">
        <is>
          <t>Own site</t>
        </is>
      </c>
      <c r="D27" s="10" t="n">
        <v>1147.68</v>
      </c>
      <c r="E27" s="10" t="n">
        <v>34.43</v>
      </c>
      <c r="F27" s="10" t="n">
        <v>504.98</v>
      </c>
      <c r="G27" s="10" t="n">
        <v>30.99</v>
      </c>
      <c r="H27" s="10" t="n">
        <v>136.29</v>
      </c>
      <c r="I27" s="10" t="n">
        <v>150.63</v>
      </c>
      <c r="J27" s="11">
        <f>A27&amp;"|"&amp;C27</f>
        <v/>
      </c>
    </row>
    <row r="28">
      <c r="A28" s="7" t="n">
        <v>6</v>
      </c>
      <c r="B28" s="8" t="n">
        <v>46266</v>
      </c>
      <c r="C28" s="9" t="inlineStr">
        <is>
          <t>Amazon</t>
        </is>
      </c>
      <c r="D28" s="10" t="n">
        <v>3046.41</v>
      </c>
      <c r="E28" s="10" t="n">
        <v>121.86</v>
      </c>
      <c r="F28" s="10" t="n">
        <v>1340.42</v>
      </c>
      <c r="G28" s="10" t="n">
        <v>703.72</v>
      </c>
      <c r="H28" s="10" t="n">
        <v>208.44</v>
      </c>
      <c r="I28" s="10" t="n">
        <v>24.05</v>
      </c>
      <c r="J28" s="11">
        <f>A28&amp;"|"&amp;C28</f>
        <v/>
      </c>
    </row>
    <row r="29">
      <c r="A29" s="7" t="n">
        <v>6</v>
      </c>
      <c r="B29" s="8" t="n">
        <v>46266</v>
      </c>
      <c r="C29" s="9" t="inlineStr">
        <is>
          <t>eBay</t>
        </is>
      </c>
      <c r="D29" s="10" t="n">
        <v>1924.05</v>
      </c>
      <c r="E29" s="10" t="n">
        <v>48.1</v>
      </c>
      <c r="F29" s="10" t="n">
        <v>846.58</v>
      </c>
      <c r="G29" s="10" t="n">
        <v>277.06</v>
      </c>
      <c r="H29" s="10" t="n">
        <v>72.15000000000001</v>
      </c>
      <c r="I29" s="10" t="n">
        <v>248.52</v>
      </c>
      <c r="J29" s="11">
        <f>A29&amp;"|"&amp;C29</f>
        <v/>
      </c>
    </row>
    <row r="30">
      <c r="A30" s="7" t="n">
        <v>6</v>
      </c>
      <c r="B30" s="8" t="n">
        <v>46266</v>
      </c>
      <c r="C30" s="9" t="inlineStr">
        <is>
          <t>Etsy</t>
        </is>
      </c>
      <c r="D30" s="10" t="n">
        <v>1683.54</v>
      </c>
      <c r="E30" s="10" t="n">
        <v>33.67</v>
      </c>
      <c r="F30" s="10" t="n">
        <v>740.76</v>
      </c>
      <c r="G30" s="10" t="n">
        <v>205.39</v>
      </c>
      <c r="H30" s="10" t="n">
        <v>56.12</v>
      </c>
      <c r="I30" s="10" t="n">
        <v>216.46</v>
      </c>
      <c r="J30" s="11">
        <f>A30&amp;"|"&amp;C30</f>
        <v/>
      </c>
    </row>
    <row r="31">
      <c r="A31" s="7" t="n">
        <v>6</v>
      </c>
      <c r="B31" s="8" t="n">
        <v>46266</v>
      </c>
      <c r="C31" s="9" t="inlineStr">
        <is>
          <t>Own site</t>
        </is>
      </c>
      <c r="D31" s="10" t="n">
        <v>1282.7</v>
      </c>
      <c r="E31" s="10" t="n">
        <v>38.48</v>
      </c>
      <c r="F31" s="10" t="n">
        <v>564.39</v>
      </c>
      <c r="G31" s="10" t="n">
        <v>34.63</v>
      </c>
      <c r="H31" s="10" t="n">
        <v>152.32</v>
      </c>
      <c r="I31" s="10" t="n">
        <v>168.35</v>
      </c>
      <c r="J31" s="11">
        <f>A31&amp;"|"&amp;C31</f>
        <v/>
      </c>
    </row>
    <row r="32">
      <c r="A32" s="7" t="n">
        <v>7</v>
      </c>
      <c r="B32" s="8" t="n">
        <v>46296</v>
      </c>
      <c r="C32" s="9" t="inlineStr">
        <is>
          <t>Amazon</t>
        </is>
      </c>
      <c r="D32" s="10" t="n">
        <v>3687.76</v>
      </c>
      <c r="E32" s="10" t="n">
        <v>147.51</v>
      </c>
      <c r="F32" s="10" t="n">
        <v>1622.61</v>
      </c>
      <c r="G32" s="10" t="n">
        <v>851.87</v>
      </c>
      <c r="H32" s="10" t="n">
        <v>252.32</v>
      </c>
      <c r="I32" s="10" t="n">
        <v>29.11</v>
      </c>
      <c r="J32" s="11">
        <f>A32&amp;"|"&amp;C32</f>
        <v/>
      </c>
    </row>
    <row r="33">
      <c r="A33" s="7" t="n">
        <v>7</v>
      </c>
      <c r="B33" s="8" t="n">
        <v>46296</v>
      </c>
      <c r="C33" s="9" t="inlineStr">
        <is>
          <t>eBay</t>
        </is>
      </c>
      <c r="D33" s="10" t="n">
        <v>2329.11</v>
      </c>
      <c r="E33" s="10" t="n">
        <v>58.23</v>
      </c>
      <c r="F33" s="10" t="n">
        <v>1024.81</v>
      </c>
      <c r="G33" s="10" t="n">
        <v>335.39</v>
      </c>
      <c r="H33" s="10" t="n">
        <v>87.34</v>
      </c>
      <c r="I33" s="10" t="n">
        <v>300.84</v>
      </c>
      <c r="J33" s="11">
        <f>A33&amp;"|"&amp;C33</f>
        <v/>
      </c>
    </row>
    <row r="34">
      <c r="A34" s="7" t="n">
        <v>7</v>
      </c>
      <c r="B34" s="8" t="n">
        <v>46296</v>
      </c>
      <c r="C34" s="9" t="inlineStr">
        <is>
          <t>Etsy</t>
        </is>
      </c>
      <c r="D34" s="10" t="n">
        <v>2037.97</v>
      </c>
      <c r="E34" s="10" t="n">
        <v>40.76</v>
      </c>
      <c r="F34" s="10" t="n">
        <v>896.71</v>
      </c>
      <c r="G34" s="10" t="n">
        <v>248.63</v>
      </c>
      <c r="H34" s="10" t="n">
        <v>67.93000000000001</v>
      </c>
      <c r="I34" s="10" t="n">
        <v>262.03</v>
      </c>
      <c r="J34" s="11">
        <f>A34&amp;"|"&amp;C34</f>
        <v/>
      </c>
    </row>
    <row r="35">
      <c r="A35" s="7" t="n">
        <v>7</v>
      </c>
      <c r="B35" s="8" t="n">
        <v>46296</v>
      </c>
      <c r="C35" s="9" t="inlineStr">
        <is>
          <t>Own site</t>
        </is>
      </c>
      <c r="D35" s="10" t="n">
        <v>1552.74</v>
      </c>
      <c r="E35" s="10" t="n">
        <v>46.58</v>
      </c>
      <c r="F35" s="10" t="n">
        <v>683.21</v>
      </c>
      <c r="G35" s="10" t="n">
        <v>41.92</v>
      </c>
      <c r="H35" s="10" t="n">
        <v>184.39</v>
      </c>
      <c r="I35" s="10" t="n">
        <v>203.8</v>
      </c>
      <c r="J35" s="11">
        <f>A35&amp;"|"&amp;C35</f>
        <v/>
      </c>
    </row>
    <row r="36">
      <c r="A36" s="7" t="n">
        <v>8</v>
      </c>
      <c r="B36" s="8" t="n">
        <v>46327</v>
      </c>
      <c r="C36" s="9" t="inlineStr">
        <is>
          <t>Amazon</t>
        </is>
      </c>
      <c r="D36" s="10" t="n">
        <v>5130.8</v>
      </c>
      <c r="E36" s="10" t="n">
        <v>205.23</v>
      </c>
      <c r="F36" s="10" t="n">
        <v>2257.55</v>
      </c>
      <c r="G36" s="10" t="n">
        <v>1185.21</v>
      </c>
      <c r="H36" s="10" t="n">
        <v>351.05</v>
      </c>
      <c r="I36" s="10" t="n">
        <v>40.51</v>
      </c>
      <c r="J36" s="11">
        <f>A36&amp;"|"&amp;C36</f>
        <v/>
      </c>
    </row>
    <row r="37">
      <c r="A37" s="7" t="n">
        <v>8</v>
      </c>
      <c r="B37" s="8" t="n">
        <v>46327</v>
      </c>
      <c r="C37" s="9" t="inlineStr">
        <is>
          <t>eBay</t>
        </is>
      </c>
      <c r="D37" s="10" t="n">
        <v>3240.51</v>
      </c>
      <c r="E37" s="10" t="n">
        <v>81.01000000000001</v>
      </c>
      <c r="F37" s="10" t="n">
        <v>1425.82</v>
      </c>
      <c r="G37" s="10" t="n">
        <v>466.63</v>
      </c>
      <c r="H37" s="10" t="n">
        <v>121.52</v>
      </c>
      <c r="I37" s="10" t="n">
        <v>418.57</v>
      </c>
      <c r="J37" s="11">
        <f>A37&amp;"|"&amp;C37</f>
        <v/>
      </c>
    </row>
    <row r="38">
      <c r="A38" s="7" t="n">
        <v>8</v>
      </c>
      <c r="B38" s="8" t="n">
        <v>46327</v>
      </c>
      <c r="C38" s="9" t="inlineStr">
        <is>
          <t>Etsy</t>
        </is>
      </c>
      <c r="D38" s="10" t="n">
        <v>2835.44</v>
      </c>
      <c r="E38" s="10" t="n">
        <v>56.71</v>
      </c>
      <c r="F38" s="10" t="n">
        <v>1247.59</v>
      </c>
      <c r="G38" s="10" t="n">
        <v>345.92</v>
      </c>
      <c r="H38" s="10" t="n">
        <v>94.51000000000001</v>
      </c>
      <c r="I38" s="10" t="n">
        <v>364.56</v>
      </c>
      <c r="J38" s="11">
        <f>A38&amp;"|"&amp;C38</f>
        <v/>
      </c>
    </row>
    <row r="39">
      <c r="A39" s="7" t="n">
        <v>8</v>
      </c>
      <c r="B39" s="8" t="n">
        <v>46327</v>
      </c>
      <c r="C39" s="9" t="inlineStr">
        <is>
          <t>Own site</t>
        </is>
      </c>
      <c r="D39" s="10" t="n">
        <v>2160.34</v>
      </c>
      <c r="E39" s="10" t="n">
        <v>64.81</v>
      </c>
      <c r="F39" s="10" t="n">
        <v>950.55</v>
      </c>
      <c r="G39" s="10" t="n">
        <v>58.33</v>
      </c>
      <c r="H39" s="10" t="n">
        <v>256.54</v>
      </c>
      <c r="I39" s="10" t="n">
        <v>283.54</v>
      </c>
      <c r="J39" s="11">
        <f>A39&amp;"|"&amp;C39</f>
        <v/>
      </c>
    </row>
    <row r="40">
      <c r="A40" s="7" t="n">
        <v>9</v>
      </c>
      <c r="B40" s="8" t="n">
        <v>46357</v>
      </c>
      <c r="C40" s="9" t="inlineStr">
        <is>
          <t>Amazon</t>
        </is>
      </c>
      <c r="D40" s="10" t="n">
        <v>4649.79</v>
      </c>
      <c r="E40" s="10" t="n">
        <v>185.99</v>
      </c>
      <c r="F40" s="10" t="n">
        <v>2045.91</v>
      </c>
      <c r="G40" s="10" t="n">
        <v>1074.1</v>
      </c>
      <c r="H40" s="10" t="n">
        <v>318.14</v>
      </c>
      <c r="I40" s="10" t="n">
        <v>36.71</v>
      </c>
      <c r="J40" s="11">
        <f>A40&amp;"|"&amp;C40</f>
        <v/>
      </c>
    </row>
    <row r="41">
      <c r="A41" s="7" t="n">
        <v>9</v>
      </c>
      <c r="B41" s="8" t="n">
        <v>46357</v>
      </c>
      <c r="C41" s="9" t="inlineStr">
        <is>
          <t>eBay</t>
        </is>
      </c>
      <c r="D41" s="10" t="n">
        <v>2936.71</v>
      </c>
      <c r="E41" s="10" t="n">
        <v>73.42</v>
      </c>
      <c r="F41" s="10" t="n">
        <v>1292.15</v>
      </c>
      <c r="G41" s="10" t="n">
        <v>422.89</v>
      </c>
      <c r="H41" s="10" t="n">
        <v>110.13</v>
      </c>
      <c r="I41" s="10" t="n">
        <v>379.32</v>
      </c>
      <c r="J41" s="11">
        <f>A41&amp;"|"&amp;C41</f>
        <v/>
      </c>
    </row>
    <row r="42">
      <c r="A42" s="7" t="n">
        <v>9</v>
      </c>
      <c r="B42" s="8" t="n">
        <v>46357</v>
      </c>
      <c r="C42" s="9" t="inlineStr">
        <is>
          <t>Etsy</t>
        </is>
      </c>
      <c r="D42" s="10" t="n">
        <v>2569.62</v>
      </c>
      <c r="E42" s="10" t="n">
        <v>51.39</v>
      </c>
      <c r="F42" s="10" t="n">
        <v>1130.63</v>
      </c>
      <c r="G42" s="10" t="n">
        <v>313.49</v>
      </c>
      <c r="H42" s="10" t="n">
        <v>85.65000000000001</v>
      </c>
      <c r="I42" s="10" t="n">
        <v>330.38</v>
      </c>
      <c r="J42" s="11">
        <f>A42&amp;"|"&amp;C42</f>
        <v/>
      </c>
    </row>
    <row r="43">
      <c r="A43" s="7" t="n">
        <v>9</v>
      </c>
      <c r="B43" s="8" t="n">
        <v>46357</v>
      </c>
      <c r="C43" s="9" t="inlineStr">
        <is>
          <t>Own site</t>
        </is>
      </c>
      <c r="D43" s="10" t="n">
        <v>1957.81</v>
      </c>
      <c r="E43" s="10" t="n">
        <v>58.73</v>
      </c>
      <c r="F43" s="10" t="n">
        <v>861.4400000000001</v>
      </c>
      <c r="G43" s="10" t="n">
        <v>52.86</v>
      </c>
      <c r="H43" s="10" t="n">
        <v>232.49</v>
      </c>
      <c r="I43" s="10" t="n">
        <v>256.96</v>
      </c>
      <c r="J43" s="11">
        <f>A43&amp;"|"&amp;C43</f>
        <v/>
      </c>
    </row>
    <row r="44">
      <c r="A44" s="7" t="n">
        <v>10</v>
      </c>
      <c r="B44" s="8" t="n">
        <v>46388</v>
      </c>
      <c r="C44" s="9" t="inlineStr">
        <is>
          <t>Amazon</t>
        </is>
      </c>
      <c r="D44" s="10" t="n">
        <v>2405.06</v>
      </c>
      <c r="E44" s="10" t="n">
        <v>96.2</v>
      </c>
      <c r="F44" s="10" t="n">
        <v>1058.23</v>
      </c>
      <c r="G44" s="10" t="n">
        <v>555.5700000000001</v>
      </c>
      <c r="H44" s="10" t="n">
        <v>164.56</v>
      </c>
      <c r="I44" s="10" t="n">
        <v>18.99</v>
      </c>
      <c r="J44" s="11">
        <f>A44&amp;"|"&amp;C44</f>
        <v/>
      </c>
    </row>
    <row r="45">
      <c r="A45" s="7" t="n">
        <v>10</v>
      </c>
      <c r="B45" s="8" t="n">
        <v>46388</v>
      </c>
      <c r="C45" s="9" t="inlineStr">
        <is>
          <t>eBay</t>
        </is>
      </c>
      <c r="D45" s="10" t="n">
        <v>1518.99</v>
      </c>
      <c r="E45" s="10" t="n">
        <v>37.97</v>
      </c>
      <c r="F45" s="10" t="n">
        <v>668.36</v>
      </c>
      <c r="G45" s="10" t="n">
        <v>218.73</v>
      </c>
      <c r="H45" s="10" t="n">
        <v>56.96</v>
      </c>
      <c r="I45" s="10" t="n">
        <v>196.2</v>
      </c>
      <c r="J45" s="11">
        <f>A45&amp;"|"&amp;C45</f>
        <v/>
      </c>
    </row>
    <row r="46">
      <c r="A46" s="7" t="n">
        <v>10</v>
      </c>
      <c r="B46" s="8" t="n">
        <v>46388</v>
      </c>
      <c r="C46" s="9" t="inlineStr">
        <is>
          <t>Etsy</t>
        </is>
      </c>
      <c r="D46" s="10" t="n">
        <v>1329.11</v>
      </c>
      <c r="E46" s="10" t="n">
        <v>26.58</v>
      </c>
      <c r="F46" s="10" t="n">
        <v>584.8099999999999</v>
      </c>
      <c r="G46" s="10" t="n">
        <v>162.15</v>
      </c>
      <c r="H46" s="10" t="n">
        <v>44.3</v>
      </c>
      <c r="I46" s="10" t="n">
        <v>170.89</v>
      </c>
      <c r="J46" s="11">
        <f>A46&amp;"|"&amp;C46</f>
        <v/>
      </c>
    </row>
    <row r="47">
      <c r="A47" s="7" t="n">
        <v>10</v>
      </c>
      <c r="B47" s="8" t="n">
        <v>46388</v>
      </c>
      <c r="C47" s="9" t="inlineStr">
        <is>
          <t>Own site</t>
        </is>
      </c>
      <c r="D47" s="10" t="n">
        <v>1012.66</v>
      </c>
      <c r="E47" s="10" t="n">
        <v>30.38</v>
      </c>
      <c r="F47" s="10" t="n">
        <v>445.57</v>
      </c>
      <c r="G47" s="10" t="n">
        <v>27.34</v>
      </c>
      <c r="H47" s="10" t="n">
        <v>120.25</v>
      </c>
      <c r="I47" s="10" t="n">
        <v>132.91</v>
      </c>
      <c r="J47" s="11">
        <f>A47&amp;"|"&amp;C47</f>
        <v/>
      </c>
    </row>
    <row r="48">
      <c r="A48" s="7" t="n">
        <v>11</v>
      </c>
      <c r="B48" s="8" t="n">
        <v>46419</v>
      </c>
      <c r="C48" s="9" t="inlineStr">
        <is>
          <t>Amazon</t>
        </is>
      </c>
      <c r="D48" s="10" t="n">
        <v>2725.74</v>
      </c>
      <c r="E48" s="10" t="n">
        <v>109.03</v>
      </c>
      <c r="F48" s="10" t="n">
        <v>1199.33</v>
      </c>
      <c r="G48" s="10" t="n">
        <v>629.65</v>
      </c>
      <c r="H48" s="10" t="n">
        <v>186.5</v>
      </c>
      <c r="I48" s="10" t="n">
        <v>21.52</v>
      </c>
      <c r="J48" s="11">
        <f>A48&amp;"|"&amp;C48</f>
        <v/>
      </c>
    </row>
    <row r="49">
      <c r="A49" s="7" t="n">
        <v>11</v>
      </c>
      <c r="B49" s="8" t="n">
        <v>46419</v>
      </c>
      <c r="C49" s="9" t="inlineStr">
        <is>
          <t>eBay</t>
        </is>
      </c>
      <c r="D49" s="10" t="n">
        <v>1721.52</v>
      </c>
      <c r="E49" s="10" t="n">
        <v>43.04</v>
      </c>
      <c r="F49" s="10" t="n">
        <v>757.47</v>
      </c>
      <c r="G49" s="10" t="n">
        <v>247.9</v>
      </c>
      <c r="H49" s="10" t="n">
        <v>64.56</v>
      </c>
      <c r="I49" s="10" t="n">
        <v>222.36</v>
      </c>
      <c r="J49" s="11">
        <f>A49&amp;"|"&amp;C49</f>
        <v/>
      </c>
    </row>
    <row r="50">
      <c r="A50" s="7" t="n">
        <v>11</v>
      </c>
      <c r="B50" s="8" t="n">
        <v>46419</v>
      </c>
      <c r="C50" s="9" t="inlineStr">
        <is>
          <t>Etsy</t>
        </is>
      </c>
      <c r="D50" s="10" t="n">
        <v>1506.33</v>
      </c>
      <c r="E50" s="10" t="n">
        <v>30.13</v>
      </c>
      <c r="F50" s="10" t="n">
        <v>662.79</v>
      </c>
      <c r="G50" s="10" t="n">
        <v>183.77</v>
      </c>
      <c r="H50" s="10" t="n">
        <v>50.21</v>
      </c>
      <c r="I50" s="10" t="n">
        <v>193.67</v>
      </c>
      <c r="J50" s="11">
        <f>A50&amp;"|"&amp;C50</f>
        <v/>
      </c>
    </row>
    <row r="51">
      <c r="A51" s="7" t="n">
        <v>11</v>
      </c>
      <c r="B51" s="8" t="n">
        <v>46419</v>
      </c>
      <c r="C51" s="9" t="inlineStr">
        <is>
          <t>Own site</t>
        </is>
      </c>
      <c r="D51" s="10" t="n">
        <v>1147.68</v>
      </c>
      <c r="E51" s="10" t="n">
        <v>34.43</v>
      </c>
      <c r="F51" s="10" t="n">
        <v>504.98</v>
      </c>
      <c r="G51" s="10" t="n">
        <v>30.99</v>
      </c>
      <c r="H51" s="10" t="n">
        <v>136.29</v>
      </c>
      <c r="I51" s="10" t="n">
        <v>150.63</v>
      </c>
      <c r="J51" s="11">
        <f>A51&amp;"|"&amp;C51</f>
        <v/>
      </c>
    </row>
    <row r="52">
      <c r="A52" s="7" t="n">
        <v>12</v>
      </c>
      <c r="B52" s="8" t="n">
        <v>46447</v>
      </c>
      <c r="C52" s="9" t="inlineStr">
        <is>
          <t>Amazon</t>
        </is>
      </c>
      <c r="D52" s="10" t="n">
        <v>3046.41</v>
      </c>
      <c r="E52" s="10" t="n">
        <v>121.86</v>
      </c>
      <c r="F52" s="10" t="n">
        <v>1340.42</v>
      </c>
      <c r="G52" s="10" t="n">
        <v>703.72</v>
      </c>
      <c r="H52" s="10" t="n">
        <v>208.44</v>
      </c>
      <c r="I52" s="10" t="n">
        <v>24.05</v>
      </c>
      <c r="J52" s="11">
        <f>A52&amp;"|"&amp;C52</f>
        <v/>
      </c>
    </row>
    <row r="53">
      <c r="A53" s="7" t="n">
        <v>12</v>
      </c>
      <c r="B53" s="8" t="n">
        <v>46447</v>
      </c>
      <c r="C53" s="9" t="inlineStr">
        <is>
          <t>eBay</t>
        </is>
      </c>
      <c r="D53" s="10" t="n">
        <v>1924.05</v>
      </c>
      <c r="E53" s="10" t="n">
        <v>48.1</v>
      </c>
      <c r="F53" s="10" t="n">
        <v>846.58</v>
      </c>
      <c r="G53" s="10" t="n">
        <v>277.06</v>
      </c>
      <c r="H53" s="10" t="n">
        <v>72.15000000000001</v>
      </c>
      <c r="I53" s="10" t="n">
        <v>248.52</v>
      </c>
      <c r="J53" s="11">
        <f>A53&amp;"|"&amp;C53</f>
        <v/>
      </c>
    </row>
    <row r="54">
      <c r="A54" s="7" t="n">
        <v>12</v>
      </c>
      <c r="B54" s="8" t="n">
        <v>46447</v>
      </c>
      <c r="C54" s="9" t="inlineStr">
        <is>
          <t>Etsy</t>
        </is>
      </c>
      <c r="D54" s="10" t="n">
        <v>1683.54</v>
      </c>
      <c r="E54" s="10" t="n">
        <v>33.67</v>
      </c>
      <c r="F54" s="10" t="n">
        <v>740.76</v>
      </c>
      <c r="G54" s="10" t="n">
        <v>205.39</v>
      </c>
      <c r="H54" s="10" t="n">
        <v>56.12</v>
      </c>
      <c r="I54" s="10" t="n">
        <v>216.46</v>
      </c>
      <c r="J54" s="11">
        <f>A54&amp;"|"&amp;C54</f>
        <v/>
      </c>
    </row>
    <row r="55">
      <c r="A55" s="7" t="n">
        <v>12</v>
      </c>
      <c r="B55" s="8" t="n">
        <v>46447</v>
      </c>
      <c r="C55" s="9" t="inlineStr">
        <is>
          <t>Own site</t>
        </is>
      </c>
      <c r="D55" s="10" t="n">
        <v>1282.7</v>
      </c>
      <c r="E55" s="10" t="n">
        <v>38.48</v>
      </c>
      <c r="F55" s="10" t="n">
        <v>564.39</v>
      </c>
      <c r="G55" s="10" t="n">
        <v>34.63</v>
      </c>
      <c r="H55" s="10" t="n">
        <v>152.32</v>
      </c>
      <c r="I55" s="10" t="n">
        <v>168.35</v>
      </c>
      <c r="J55" s="11">
        <f>A55&amp;"|"&amp;C55</f>
        <v/>
      </c>
    </row>
    <row r="57" ht="19" customHeight="1">
      <c r="A57" s="12" t="inlineStr">
        <is>
          <t xml:space="preserve">  Checks on what you typed</t>
        </is>
      </c>
      <c r="B57" s="13" t="n"/>
      <c r="C57" s="13" t="n"/>
      <c r="D57" s="13" t="n"/>
      <c r="E57" s="13" t="n"/>
      <c r="F57" s="13" t="n"/>
      <c r="G57" s="13" t="n"/>
      <c r="H57" s="13" t="n"/>
      <c r="I57" s="13" t="n"/>
      <c r="J57" s="13" t="n"/>
    </row>
    <row r="58">
      <c r="A58" s="14" t="inlineStr">
        <is>
          <t>Total gross sales</t>
        </is>
      </c>
      <c r="B58" s="15">
        <f>SUM($D$8:$D$55)</f>
        <v/>
      </c>
    </row>
    <row r="59">
      <c r="A59" s="14" t="inlineStr">
        <is>
          <t>Total refunds</t>
        </is>
      </c>
      <c r="B59" s="15">
        <f>SUM($E$8:$E$55)</f>
        <v/>
      </c>
    </row>
    <row r="60">
      <c r="A60" s="14" t="inlineStr">
        <is>
          <t>Total cost of goods</t>
        </is>
      </c>
      <c r="B60" s="15">
        <f>SUM($F$8:$F$55)</f>
        <v/>
      </c>
    </row>
    <row r="61">
      <c r="A61" s="14" t="inlineStr">
        <is>
          <t>Total platform fees</t>
        </is>
      </c>
      <c r="B61" s="15">
        <f>SUM($G$8:$G$55)</f>
        <v/>
      </c>
    </row>
    <row r="62">
      <c r="A62" s="14" t="inlineStr">
        <is>
          <t>Total advertising</t>
        </is>
      </c>
      <c r="B62" s="15">
        <f>SUM($H$8:$H$55)</f>
        <v/>
      </c>
    </row>
    <row r="63">
      <c r="A63" s="14" t="inlineStr">
        <is>
          <t>Total post and packing</t>
        </is>
      </c>
      <c r="B63" s="15">
        <f>SUM($I$8:$I$55)</f>
        <v/>
      </c>
    </row>
    <row r="65">
      <c r="A65" s="14" t="inlineStr">
        <is>
          <t>Rows that are not one of the four channels</t>
        </is>
      </c>
      <c r="B65" s="16">
        <f>48-COUNTIF($C$8:$C$55,"Amazon")-COUNTIF($C$8:$C$55,"eBay")-COUNTIF($C$8:$C$55,"Etsy")-COUNTIF($C$8:$C$55,"Own site")</f>
        <v/>
      </c>
      <c r="C65" s="17" t="inlineStr">
        <is>
          <t>Anything but nil and the sheets below are missing rows.</t>
        </is>
      </c>
    </row>
    <row r="66">
      <c r="A66" s="14" t="inlineStr">
        <is>
          <t>Refunds as a share of sales</t>
        </is>
      </c>
      <c r="B66" s="18">
        <f>IFERROR(SUM($E$8:$E$55)/SUM($D$8:$D$55),"")</f>
        <v/>
      </c>
      <c r="C66" s="17" t="inlineStr">
        <is>
          <t>Over about 8% is worth looking into.</t>
        </is>
      </c>
    </row>
  </sheetData>
  <conditionalFormatting sqref="B65">
    <cfRule type="cellIs" priority="1" operator="greaterThan" dxfId="0">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38"/>
  <sheetViews>
    <sheetView showGridLines="0" workbookViewId="0">
      <selection activeCell="A1" sqref="A1"/>
    </sheetView>
  </sheetViews>
  <sheetFormatPr baseColWidth="8" defaultRowHeight="15"/>
  <cols>
    <col width="30"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3" customWidth="1" min="14" max="14"/>
    <col width="13" customWidth="1" min="15" max="15"/>
  </cols>
  <sheetData>
    <row r="1">
      <c r="A1" s="1" t="inlineStr">
        <is>
          <t>ZAZEN TAX</t>
        </is>
      </c>
    </row>
    <row r="2">
      <c r="A2" s="2" t="inlineStr">
        <is>
          <t>All four channels, one statement</t>
        </is>
      </c>
    </row>
    <row r="5">
      <c r="A5" s="3" t="inlineStr">
        <is>
          <t>Every figure here is summed from the Channels sheet. The overhead rows are the only ones you type into.</t>
        </is>
      </c>
    </row>
    <row r="7">
      <c r="A7" s="19" t="inlineStr">
        <is>
          <t>Month</t>
        </is>
      </c>
      <c r="B7" s="20" t="n">
        <v>46113</v>
      </c>
      <c r="C7" s="20" t="n">
        <v>46143</v>
      </c>
      <c r="D7" s="20" t="n">
        <v>46174</v>
      </c>
      <c r="E7" s="20" t="n">
        <v>46204</v>
      </c>
      <c r="F7" s="20" t="n">
        <v>46235</v>
      </c>
      <c r="G7" s="20" t="n">
        <v>46266</v>
      </c>
      <c r="H7" s="20" t="n">
        <v>46296</v>
      </c>
      <c r="I7" s="20" t="n">
        <v>46327</v>
      </c>
      <c r="J7" s="20" t="n">
        <v>46357</v>
      </c>
      <c r="K7" s="20" t="n">
        <v>46388</v>
      </c>
      <c r="L7" s="20" t="n">
        <v>46419</v>
      </c>
      <c r="M7" s="20" t="n">
        <v>46447</v>
      </c>
      <c r="N7" s="19" t="inlineStr">
        <is>
          <t>Year</t>
        </is>
      </c>
      <c r="O7" s="19" t="inlineStr">
        <is>
          <t>% of turnover</t>
        </is>
      </c>
    </row>
    <row r="8">
      <c r="A8" s="3" t="inlineStr">
        <is>
          <t xml:space="preserve">  month no</t>
        </is>
      </c>
      <c r="B8" s="3" t="n">
        <v>1</v>
      </c>
      <c r="C8" s="3" t="n">
        <v>2</v>
      </c>
      <c r="D8" s="3" t="n">
        <v>3</v>
      </c>
      <c r="E8" s="3" t="n">
        <v>4</v>
      </c>
      <c r="F8" s="3" t="n">
        <v>5</v>
      </c>
      <c r="G8" s="3" t="n">
        <v>6</v>
      </c>
      <c r="H8" s="3" t="n">
        <v>7</v>
      </c>
      <c r="I8" s="3" t="n">
        <v>8</v>
      </c>
      <c r="J8" s="3" t="n">
        <v>9</v>
      </c>
      <c r="K8" s="3" t="n">
        <v>10</v>
      </c>
      <c r="L8" s="3" t="n">
        <v>11</v>
      </c>
      <c r="M8" s="3" t="n">
        <v>12</v>
      </c>
    </row>
    <row r="9" ht="19" customHeight="1">
      <c r="A9" s="12" t="inlineStr">
        <is>
          <t xml:space="preserve">  Turnover</t>
        </is>
      </c>
      <c r="B9" s="13" t="n"/>
      <c r="C9" s="13" t="n"/>
      <c r="D9" s="13" t="n"/>
      <c r="E9" s="13" t="n"/>
      <c r="F9" s="13" t="n"/>
      <c r="G9" s="13" t="n"/>
      <c r="H9" s="13" t="n"/>
      <c r="I9" s="13" t="n"/>
      <c r="J9" s="13" t="n"/>
      <c r="K9" s="13" t="n"/>
      <c r="L9" s="13" t="n"/>
      <c r="M9" s="13" t="n"/>
      <c r="N9" s="13" t="n"/>
      <c r="O9" s="13" t="n"/>
      <c r="P9" s="13" t="n"/>
    </row>
    <row r="10">
      <c r="A10" s="11" t="inlineStr">
        <is>
          <t>Gross sales</t>
        </is>
      </c>
      <c r="B10" s="21">
        <f>SUMIF(Channels!$A$8:$A$55,B$8,Channels!$D$8:$D$55)</f>
        <v/>
      </c>
      <c r="C10" s="21">
        <f>SUMIF(Channels!$A$8:$A$55,C$8,Channels!$D$8:$D$55)</f>
        <v/>
      </c>
      <c r="D10" s="21">
        <f>SUMIF(Channels!$A$8:$A$55,D$8,Channels!$D$8:$D$55)</f>
        <v/>
      </c>
      <c r="E10" s="21">
        <f>SUMIF(Channels!$A$8:$A$55,E$8,Channels!$D$8:$D$55)</f>
        <v/>
      </c>
      <c r="F10" s="21">
        <f>SUMIF(Channels!$A$8:$A$55,F$8,Channels!$D$8:$D$55)</f>
        <v/>
      </c>
      <c r="G10" s="21">
        <f>SUMIF(Channels!$A$8:$A$55,G$8,Channels!$D$8:$D$55)</f>
        <v/>
      </c>
      <c r="H10" s="21">
        <f>SUMIF(Channels!$A$8:$A$55,H$8,Channels!$D$8:$D$55)</f>
        <v/>
      </c>
      <c r="I10" s="21">
        <f>SUMIF(Channels!$A$8:$A$55,I$8,Channels!$D$8:$D$55)</f>
        <v/>
      </c>
      <c r="J10" s="21">
        <f>SUMIF(Channels!$A$8:$A$55,J$8,Channels!$D$8:$D$55)</f>
        <v/>
      </c>
      <c r="K10" s="21">
        <f>SUMIF(Channels!$A$8:$A$55,K$8,Channels!$D$8:$D$55)</f>
        <v/>
      </c>
      <c r="L10" s="21">
        <f>SUMIF(Channels!$A$8:$A$55,L$8,Channels!$D$8:$D$55)</f>
        <v/>
      </c>
      <c r="M10" s="21">
        <f>SUMIF(Channels!$A$8:$A$55,M$8,Channels!$D$8:$D$55)</f>
        <v/>
      </c>
      <c r="N10" s="21">
        <f>SUM($B10:$M10)</f>
        <v/>
      </c>
      <c r="O10" s="22">
        <f>IFERROR($N10/$N12,"")</f>
        <v/>
      </c>
    </row>
    <row r="11">
      <c r="A11" s="11" t="inlineStr">
        <is>
          <t>Refunds</t>
        </is>
      </c>
      <c r="B11" s="21">
        <f>SUMIF(Channels!$A$8:$A$55,B$8,Channels!$E$8:$E$55)</f>
        <v/>
      </c>
      <c r="C11" s="21">
        <f>SUMIF(Channels!$A$8:$A$55,C$8,Channels!$E$8:$E$55)</f>
        <v/>
      </c>
      <c r="D11" s="21">
        <f>SUMIF(Channels!$A$8:$A$55,D$8,Channels!$E$8:$E$55)</f>
        <v/>
      </c>
      <c r="E11" s="21">
        <f>SUMIF(Channels!$A$8:$A$55,E$8,Channels!$E$8:$E$55)</f>
        <v/>
      </c>
      <c r="F11" s="21">
        <f>SUMIF(Channels!$A$8:$A$55,F$8,Channels!$E$8:$E$55)</f>
        <v/>
      </c>
      <c r="G11" s="21">
        <f>SUMIF(Channels!$A$8:$A$55,G$8,Channels!$E$8:$E$55)</f>
        <v/>
      </c>
      <c r="H11" s="21">
        <f>SUMIF(Channels!$A$8:$A$55,H$8,Channels!$E$8:$E$55)</f>
        <v/>
      </c>
      <c r="I11" s="21">
        <f>SUMIF(Channels!$A$8:$A$55,I$8,Channels!$E$8:$E$55)</f>
        <v/>
      </c>
      <c r="J11" s="21">
        <f>SUMIF(Channels!$A$8:$A$55,J$8,Channels!$E$8:$E$55)</f>
        <v/>
      </c>
      <c r="K11" s="21">
        <f>SUMIF(Channels!$A$8:$A$55,K$8,Channels!$E$8:$E$55)</f>
        <v/>
      </c>
      <c r="L11" s="21">
        <f>SUMIF(Channels!$A$8:$A$55,L$8,Channels!$E$8:$E$55)</f>
        <v/>
      </c>
      <c r="M11" s="21">
        <f>SUMIF(Channels!$A$8:$A$55,M$8,Channels!$E$8:$E$55)</f>
        <v/>
      </c>
      <c r="N11" s="21">
        <f>SUM($B11:$M11)</f>
        <v/>
      </c>
      <c r="O11" s="22">
        <f>IFERROR($N11/$N12,"")</f>
        <v/>
      </c>
    </row>
    <row r="12">
      <c r="A12" s="23" t="inlineStr">
        <is>
          <t>Taxable turnover</t>
        </is>
      </c>
      <c r="B12" s="15">
        <f>B10-B11</f>
        <v/>
      </c>
      <c r="C12" s="15">
        <f>C10-C11</f>
        <v/>
      </c>
      <c r="D12" s="15">
        <f>D10-D11</f>
        <v/>
      </c>
      <c r="E12" s="15">
        <f>E10-E11</f>
        <v/>
      </c>
      <c r="F12" s="15">
        <f>F10-F11</f>
        <v/>
      </c>
      <c r="G12" s="15">
        <f>G10-G11</f>
        <v/>
      </c>
      <c r="H12" s="15">
        <f>H10-H11</f>
        <v/>
      </c>
      <c r="I12" s="15">
        <f>I10-I11</f>
        <v/>
      </c>
      <c r="J12" s="15">
        <f>J10-J11</f>
        <v/>
      </c>
      <c r="K12" s="15">
        <f>K10-K11</f>
        <v/>
      </c>
      <c r="L12" s="15">
        <f>L10-L11</f>
        <v/>
      </c>
      <c r="M12" s="15">
        <f>M10-M11</f>
        <v/>
      </c>
      <c r="N12" s="15">
        <f>SUM($B12:$M12)</f>
        <v/>
      </c>
      <c r="O12" s="22">
        <f>IFERROR($N12/$N12,"")</f>
        <v/>
      </c>
    </row>
    <row r="14" ht="19" customHeight="1">
      <c r="A14" s="12" t="inlineStr">
        <is>
          <t xml:space="preserve">  Cost of sales</t>
        </is>
      </c>
      <c r="B14" s="13" t="n"/>
      <c r="C14" s="13" t="n"/>
      <c r="D14" s="13" t="n"/>
      <c r="E14" s="13" t="n"/>
      <c r="F14" s="13" t="n"/>
      <c r="G14" s="13" t="n"/>
      <c r="H14" s="13" t="n"/>
      <c r="I14" s="13" t="n"/>
      <c r="J14" s="13" t="n"/>
      <c r="K14" s="13" t="n"/>
      <c r="L14" s="13" t="n"/>
      <c r="M14" s="13" t="n"/>
      <c r="N14" s="13" t="n"/>
      <c r="O14" s="13" t="n"/>
      <c r="P14" s="13" t="n"/>
    </row>
    <row r="15">
      <c r="A15" s="11" t="inlineStr">
        <is>
          <t>Cost of goods</t>
        </is>
      </c>
      <c r="B15" s="21">
        <f>SUMIF(Channels!$A$8:$A$55,B$8,Channels!$F$8:$F$55)</f>
        <v/>
      </c>
      <c r="C15" s="21">
        <f>SUMIF(Channels!$A$8:$A$55,C$8,Channels!$F$8:$F$55)</f>
        <v/>
      </c>
      <c r="D15" s="21">
        <f>SUMIF(Channels!$A$8:$A$55,D$8,Channels!$F$8:$F$55)</f>
        <v/>
      </c>
      <c r="E15" s="21">
        <f>SUMIF(Channels!$A$8:$A$55,E$8,Channels!$F$8:$F$55)</f>
        <v/>
      </c>
      <c r="F15" s="21">
        <f>SUMIF(Channels!$A$8:$A$55,F$8,Channels!$F$8:$F$55)</f>
        <v/>
      </c>
      <c r="G15" s="21">
        <f>SUMIF(Channels!$A$8:$A$55,G$8,Channels!$F$8:$F$55)</f>
        <v/>
      </c>
      <c r="H15" s="21">
        <f>SUMIF(Channels!$A$8:$A$55,H$8,Channels!$F$8:$F$55)</f>
        <v/>
      </c>
      <c r="I15" s="21">
        <f>SUMIF(Channels!$A$8:$A$55,I$8,Channels!$F$8:$F$55)</f>
        <v/>
      </c>
      <c r="J15" s="21">
        <f>SUMIF(Channels!$A$8:$A$55,J$8,Channels!$F$8:$F$55)</f>
        <v/>
      </c>
      <c r="K15" s="21">
        <f>SUMIF(Channels!$A$8:$A$55,K$8,Channels!$F$8:$F$55)</f>
        <v/>
      </c>
      <c r="L15" s="21">
        <f>SUMIF(Channels!$A$8:$A$55,L$8,Channels!$F$8:$F$55)</f>
        <v/>
      </c>
      <c r="M15" s="21">
        <f>SUMIF(Channels!$A$8:$A$55,M$8,Channels!$F$8:$F$55)</f>
        <v/>
      </c>
      <c r="N15" s="21">
        <f>SUM($B15:$M15)</f>
        <v/>
      </c>
      <c r="O15" s="22">
        <f>IFERROR($N15/$N12,"")</f>
        <v/>
      </c>
    </row>
    <row r="16">
      <c r="A16" s="23" t="inlineStr">
        <is>
          <t>Gross profit</t>
        </is>
      </c>
      <c r="B16" s="15">
        <f>B12-B15</f>
        <v/>
      </c>
      <c r="C16" s="15">
        <f>C12-C15</f>
        <v/>
      </c>
      <c r="D16" s="15">
        <f>D12-D15</f>
        <v/>
      </c>
      <c r="E16" s="15">
        <f>E12-E15</f>
        <v/>
      </c>
      <c r="F16" s="15">
        <f>F12-F15</f>
        <v/>
      </c>
      <c r="G16" s="15">
        <f>G12-G15</f>
        <v/>
      </c>
      <c r="H16" s="15">
        <f>H12-H15</f>
        <v/>
      </c>
      <c r="I16" s="15">
        <f>I12-I15</f>
        <v/>
      </c>
      <c r="J16" s="15">
        <f>J12-J15</f>
        <v/>
      </c>
      <c r="K16" s="15">
        <f>K12-K15</f>
        <v/>
      </c>
      <c r="L16" s="15">
        <f>L12-L15</f>
        <v/>
      </c>
      <c r="M16" s="15">
        <f>M12-M15</f>
        <v/>
      </c>
      <c r="N16" s="15">
        <f>SUM($B16:$M16)</f>
        <v/>
      </c>
      <c r="O16" s="22">
        <f>IFERROR($N16/$N12,"")</f>
        <v/>
      </c>
    </row>
    <row r="18" ht="19" customHeight="1">
      <c r="A18" s="12" t="inlineStr">
        <is>
          <t xml:space="preserve">  Selling costs</t>
        </is>
      </c>
      <c r="B18" s="13" t="n"/>
      <c r="C18" s="13" t="n"/>
      <c r="D18" s="13" t="n"/>
      <c r="E18" s="13" t="n"/>
      <c r="F18" s="13" t="n"/>
      <c r="G18" s="13" t="n"/>
      <c r="H18" s="13" t="n"/>
      <c r="I18" s="13" t="n"/>
      <c r="J18" s="13" t="n"/>
      <c r="K18" s="13" t="n"/>
      <c r="L18" s="13" t="n"/>
      <c r="M18" s="13" t="n"/>
      <c r="N18" s="13" t="n"/>
      <c r="O18" s="13" t="n"/>
      <c r="P18" s="13" t="n"/>
    </row>
    <row r="19">
      <c r="A19" s="11" t="inlineStr">
        <is>
          <t>Platform fees</t>
        </is>
      </c>
      <c r="B19" s="21">
        <f>SUMIF(Channels!$A$8:$A$55,B$8,Channels!$G$8:$G$55)</f>
        <v/>
      </c>
      <c r="C19" s="21">
        <f>SUMIF(Channels!$A$8:$A$55,C$8,Channels!$G$8:$G$55)</f>
        <v/>
      </c>
      <c r="D19" s="21">
        <f>SUMIF(Channels!$A$8:$A$55,D$8,Channels!$G$8:$G$55)</f>
        <v/>
      </c>
      <c r="E19" s="21">
        <f>SUMIF(Channels!$A$8:$A$55,E$8,Channels!$G$8:$G$55)</f>
        <v/>
      </c>
      <c r="F19" s="21">
        <f>SUMIF(Channels!$A$8:$A$55,F$8,Channels!$G$8:$G$55)</f>
        <v/>
      </c>
      <c r="G19" s="21">
        <f>SUMIF(Channels!$A$8:$A$55,G$8,Channels!$G$8:$G$55)</f>
        <v/>
      </c>
      <c r="H19" s="21">
        <f>SUMIF(Channels!$A$8:$A$55,H$8,Channels!$G$8:$G$55)</f>
        <v/>
      </c>
      <c r="I19" s="21">
        <f>SUMIF(Channels!$A$8:$A$55,I$8,Channels!$G$8:$G$55)</f>
        <v/>
      </c>
      <c r="J19" s="21">
        <f>SUMIF(Channels!$A$8:$A$55,J$8,Channels!$G$8:$G$55)</f>
        <v/>
      </c>
      <c r="K19" s="21">
        <f>SUMIF(Channels!$A$8:$A$55,K$8,Channels!$G$8:$G$55)</f>
        <v/>
      </c>
      <c r="L19" s="21">
        <f>SUMIF(Channels!$A$8:$A$55,L$8,Channels!$G$8:$G$55)</f>
        <v/>
      </c>
      <c r="M19" s="21">
        <f>SUMIF(Channels!$A$8:$A$55,M$8,Channels!$G$8:$G$55)</f>
        <v/>
      </c>
      <c r="N19" s="21">
        <f>SUM($B19:$M19)</f>
        <v/>
      </c>
      <c r="O19" s="22">
        <f>IFERROR($N19/$N12,"")</f>
        <v/>
      </c>
    </row>
    <row r="20">
      <c r="A20" s="11" t="inlineStr">
        <is>
          <t>Advertising</t>
        </is>
      </c>
      <c r="B20" s="21">
        <f>SUMIF(Channels!$A$8:$A$55,B$8,Channels!$H$8:$H$55)</f>
        <v/>
      </c>
      <c r="C20" s="21">
        <f>SUMIF(Channels!$A$8:$A$55,C$8,Channels!$H$8:$H$55)</f>
        <v/>
      </c>
      <c r="D20" s="21">
        <f>SUMIF(Channels!$A$8:$A$55,D$8,Channels!$H$8:$H$55)</f>
        <v/>
      </c>
      <c r="E20" s="21">
        <f>SUMIF(Channels!$A$8:$A$55,E$8,Channels!$H$8:$H$55)</f>
        <v/>
      </c>
      <c r="F20" s="21">
        <f>SUMIF(Channels!$A$8:$A$55,F$8,Channels!$H$8:$H$55)</f>
        <v/>
      </c>
      <c r="G20" s="21">
        <f>SUMIF(Channels!$A$8:$A$55,G$8,Channels!$H$8:$H$55)</f>
        <v/>
      </c>
      <c r="H20" s="21">
        <f>SUMIF(Channels!$A$8:$A$55,H$8,Channels!$H$8:$H$55)</f>
        <v/>
      </c>
      <c r="I20" s="21">
        <f>SUMIF(Channels!$A$8:$A$55,I$8,Channels!$H$8:$H$55)</f>
        <v/>
      </c>
      <c r="J20" s="21">
        <f>SUMIF(Channels!$A$8:$A$55,J$8,Channels!$H$8:$H$55)</f>
        <v/>
      </c>
      <c r="K20" s="21">
        <f>SUMIF(Channels!$A$8:$A$55,K$8,Channels!$H$8:$H$55)</f>
        <v/>
      </c>
      <c r="L20" s="21">
        <f>SUMIF(Channels!$A$8:$A$55,L$8,Channels!$H$8:$H$55)</f>
        <v/>
      </c>
      <c r="M20" s="21">
        <f>SUMIF(Channels!$A$8:$A$55,M$8,Channels!$H$8:$H$55)</f>
        <v/>
      </c>
      <c r="N20" s="21">
        <f>SUM($B20:$M20)</f>
        <v/>
      </c>
      <c r="O20" s="22">
        <f>IFERROR($N20/$N12,"")</f>
        <v/>
      </c>
    </row>
    <row r="21">
      <c r="A21" s="11" t="inlineStr">
        <is>
          <t>Post and packing</t>
        </is>
      </c>
      <c r="B21" s="21">
        <f>SUMIF(Channels!$A$8:$A$55,B$8,Channels!$I$8:$I$55)</f>
        <v/>
      </c>
      <c r="C21" s="21">
        <f>SUMIF(Channels!$A$8:$A$55,C$8,Channels!$I$8:$I$55)</f>
        <v/>
      </c>
      <c r="D21" s="21">
        <f>SUMIF(Channels!$A$8:$A$55,D$8,Channels!$I$8:$I$55)</f>
        <v/>
      </c>
      <c r="E21" s="21">
        <f>SUMIF(Channels!$A$8:$A$55,E$8,Channels!$I$8:$I$55)</f>
        <v/>
      </c>
      <c r="F21" s="21">
        <f>SUMIF(Channels!$A$8:$A$55,F$8,Channels!$I$8:$I$55)</f>
        <v/>
      </c>
      <c r="G21" s="21">
        <f>SUMIF(Channels!$A$8:$A$55,G$8,Channels!$I$8:$I$55)</f>
        <v/>
      </c>
      <c r="H21" s="21">
        <f>SUMIF(Channels!$A$8:$A$55,H$8,Channels!$I$8:$I$55)</f>
        <v/>
      </c>
      <c r="I21" s="21">
        <f>SUMIF(Channels!$A$8:$A$55,I$8,Channels!$I$8:$I$55)</f>
        <v/>
      </c>
      <c r="J21" s="21">
        <f>SUMIF(Channels!$A$8:$A$55,J$8,Channels!$I$8:$I$55)</f>
        <v/>
      </c>
      <c r="K21" s="21">
        <f>SUMIF(Channels!$A$8:$A$55,K$8,Channels!$I$8:$I$55)</f>
        <v/>
      </c>
      <c r="L21" s="21">
        <f>SUMIF(Channels!$A$8:$A$55,L$8,Channels!$I$8:$I$55)</f>
        <v/>
      </c>
      <c r="M21" s="21">
        <f>SUMIF(Channels!$A$8:$A$55,M$8,Channels!$I$8:$I$55)</f>
        <v/>
      </c>
      <c r="N21" s="21">
        <f>SUM($B21:$M21)</f>
        <v/>
      </c>
      <c r="O21" s="22">
        <f>IFERROR($N21/$N12,"")</f>
        <v/>
      </c>
    </row>
    <row r="22">
      <c r="A22" s="23" t="inlineStr">
        <is>
          <t>Contribution</t>
        </is>
      </c>
      <c r="B22" s="15">
        <f>B16-B19-B20-B21</f>
        <v/>
      </c>
      <c r="C22" s="15">
        <f>C16-C19-C20-C21</f>
        <v/>
      </c>
      <c r="D22" s="15">
        <f>D16-D19-D20-D21</f>
        <v/>
      </c>
      <c r="E22" s="15">
        <f>E16-E19-E20-E21</f>
        <v/>
      </c>
      <c r="F22" s="15">
        <f>F16-F19-F20-F21</f>
        <v/>
      </c>
      <c r="G22" s="15">
        <f>G16-G19-G20-G21</f>
        <v/>
      </c>
      <c r="H22" s="15">
        <f>H16-H19-H20-H21</f>
        <v/>
      </c>
      <c r="I22" s="15">
        <f>I16-I19-I20-I21</f>
        <v/>
      </c>
      <c r="J22" s="15">
        <f>J16-J19-J20-J21</f>
        <v/>
      </c>
      <c r="K22" s="15">
        <f>K16-K19-K20-K21</f>
        <v/>
      </c>
      <c r="L22" s="15">
        <f>L16-L19-L20-L21</f>
        <v/>
      </c>
      <c r="M22" s="15">
        <f>M16-M19-M20-M21</f>
        <v/>
      </c>
      <c r="N22" s="15">
        <f>SUM($B22:$M22)</f>
        <v/>
      </c>
      <c r="O22" s="22">
        <f>IFERROR($N22/$N12,"")</f>
        <v/>
      </c>
    </row>
    <row r="24" ht="19" customHeight="1">
      <c r="A24" s="12" t="inlineStr">
        <is>
          <t xml:space="preserve">  Overheads</t>
        </is>
      </c>
      <c r="B24" s="13" t="n"/>
      <c r="C24" s="13" t="n"/>
      <c r="D24" s="13" t="n"/>
      <c r="E24" s="13" t="n"/>
      <c r="F24" s="13" t="n"/>
      <c r="G24" s="13" t="n"/>
      <c r="H24" s="13" t="n"/>
      <c r="I24" s="13" t="n"/>
      <c r="J24" s="13" t="n"/>
      <c r="K24" s="13" t="n"/>
      <c r="L24" s="13" t="n"/>
      <c r="M24" s="13" t="n"/>
      <c r="N24" s="13" t="n"/>
      <c r="O24" s="13" t="n"/>
      <c r="P24" s="13" t="n"/>
    </row>
    <row r="25">
      <c r="A25" s="11" t="inlineStr">
        <is>
          <t>Software and subscriptions</t>
        </is>
      </c>
      <c r="B25" s="10" t="n">
        <v>140</v>
      </c>
      <c r="C25" s="10" t="n">
        <v>140</v>
      </c>
      <c r="D25" s="10" t="n">
        <v>140</v>
      </c>
      <c r="E25" s="10" t="n">
        <v>140</v>
      </c>
      <c r="F25" s="10" t="n">
        <v>140</v>
      </c>
      <c r="G25" s="10" t="n">
        <v>140</v>
      </c>
      <c r="H25" s="10" t="n">
        <v>140</v>
      </c>
      <c r="I25" s="10" t="n">
        <v>140</v>
      </c>
      <c r="J25" s="10" t="n">
        <v>140</v>
      </c>
      <c r="K25" s="10" t="n">
        <v>140</v>
      </c>
      <c r="L25" s="10" t="n">
        <v>140</v>
      </c>
      <c r="M25" s="10" t="n">
        <v>140</v>
      </c>
      <c r="N25" s="21">
        <f>SUM($B25:$M25)</f>
        <v/>
      </c>
      <c r="O25" s="22">
        <f>IFERROR($N25/$N12,"")</f>
        <v/>
      </c>
    </row>
    <row r="26">
      <c r="A26" s="11" t="inlineStr">
        <is>
          <t>Accountancy</t>
        </is>
      </c>
      <c r="B26" s="10" t="n">
        <v>120</v>
      </c>
      <c r="C26" s="10" t="n">
        <v>120</v>
      </c>
      <c r="D26" s="10" t="n">
        <v>120</v>
      </c>
      <c r="E26" s="10" t="n">
        <v>120</v>
      </c>
      <c r="F26" s="10" t="n">
        <v>120</v>
      </c>
      <c r="G26" s="10" t="n">
        <v>120</v>
      </c>
      <c r="H26" s="10" t="n">
        <v>120</v>
      </c>
      <c r="I26" s="10" t="n">
        <v>120</v>
      </c>
      <c r="J26" s="10" t="n">
        <v>120</v>
      </c>
      <c r="K26" s="10" t="n">
        <v>120</v>
      </c>
      <c r="L26" s="10" t="n">
        <v>120</v>
      </c>
      <c r="M26" s="10" t="n">
        <v>120</v>
      </c>
      <c r="N26" s="21">
        <f>SUM($B26:$M26)</f>
        <v/>
      </c>
      <c r="O26" s="22">
        <f>IFERROR($N26/$N12,"")</f>
        <v/>
      </c>
    </row>
    <row r="27">
      <c r="A27" s="11" t="inlineStr">
        <is>
          <t>Storage and rent</t>
        </is>
      </c>
      <c r="B27" s="10" t="n">
        <v>300</v>
      </c>
      <c r="C27" s="10" t="n">
        <v>300</v>
      </c>
      <c r="D27" s="10" t="n">
        <v>300</v>
      </c>
      <c r="E27" s="10" t="n">
        <v>300</v>
      </c>
      <c r="F27" s="10" t="n">
        <v>300</v>
      </c>
      <c r="G27" s="10" t="n">
        <v>300</v>
      </c>
      <c r="H27" s="10" t="n">
        <v>300</v>
      </c>
      <c r="I27" s="10" t="n">
        <v>300</v>
      </c>
      <c r="J27" s="10" t="n">
        <v>300</v>
      </c>
      <c r="K27" s="10" t="n">
        <v>300</v>
      </c>
      <c r="L27" s="10" t="n">
        <v>300</v>
      </c>
      <c r="M27" s="10" t="n">
        <v>300</v>
      </c>
      <c r="N27" s="21">
        <f>SUM($B27:$M27)</f>
        <v/>
      </c>
      <c r="O27" s="22">
        <f>IFERROR($N27/$N12,"")</f>
        <v/>
      </c>
    </row>
    <row r="28">
      <c r="A28" s="11" t="inlineStr">
        <is>
          <t>Insurance</t>
        </is>
      </c>
      <c r="B28" s="10" t="n">
        <v>40</v>
      </c>
      <c r="C28" s="10" t="n">
        <v>40</v>
      </c>
      <c r="D28" s="10" t="n">
        <v>40</v>
      </c>
      <c r="E28" s="10" t="n">
        <v>40</v>
      </c>
      <c r="F28" s="10" t="n">
        <v>40</v>
      </c>
      <c r="G28" s="10" t="n">
        <v>40</v>
      </c>
      <c r="H28" s="10" t="n">
        <v>40</v>
      </c>
      <c r="I28" s="10" t="n">
        <v>40</v>
      </c>
      <c r="J28" s="10" t="n">
        <v>40</v>
      </c>
      <c r="K28" s="10" t="n">
        <v>40</v>
      </c>
      <c r="L28" s="10" t="n">
        <v>40</v>
      </c>
      <c r="M28" s="10" t="n">
        <v>40</v>
      </c>
      <c r="N28" s="21">
        <f>SUM($B28:$M28)</f>
        <v/>
      </c>
      <c r="O28" s="22">
        <f>IFERROR($N28/$N12,"")</f>
        <v/>
      </c>
    </row>
    <row r="29">
      <c r="A29" s="11" t="inlineStr">
        <is>
          <t>Bank and payment charges</t>
        </is>
      </c>
      <c r="B29" s="10" t="n">
        <v>22</v>
      </c>
      <c r="C29" s="10" t="n">
        <v>22</v>
      </c>
      <c r="D29" s="10" t="n">
        <v>22</v>
      </c>
      <c r="E29" s="10" t="n">
        <v>22</v>
      </c>
      <c r="F29" s="10" t="n">
        <v>22</v>
      </c>
      <c r="G29" s="10" t="n">
        <v>22</v>
      </c>
      <c r="H29" s="10" t="n">
        <v>22</v>
      </c>
      <c r="I29" s="10" t="n">
        <v>22</v>
      </c>
      <c r="J29" s="10" t="n">
        <v>22</v>
      </c>
      <c r="K29" s="10" t="n">
        <v>22</v>
      </c>
      <c r="L29" s="10" t="n">
        <v>22</v>
      </c>
      <c r="M29" s="10" t="n">
        <v>22</v>
      </c>
      <c r="N29" s="21">
        <f>SUM($B29:$M29)</f>
        <v/>
      </c>
      <c r="O29" s="22">
        <f>IFERROR($N29/$N12,"")</f>
        <v/>
      </c>
    </row>
    <row r="30">
      <c r="A30" s="11" t="inlineStr">
        <is>
          <t>Everything else</t>
        </is>
      </c>
      <c r="B30" s="10" t="n">
        <v>133.33</v>
      </c>
      <c r="C30" s="10" t="n">
        <v>133.33</v>
      </c>
      <c r="D30" s="10" t="n">
        <v>133.33</v>
      </c>
      <c r="E30" s="10" t="n">
        <v>133.33</v>
      </c>
      <c r="F30" s="10" t="n">
        <v>133.33</v>
      </c>
      <c r="G30" s="10" t="n">
        <v>133.33</v>
      </c>
      <c r="H30" s="10" t="n">
        <v>133.33</v>
      </c>
      <c r="I30" s="10" t="n">
        <v>133.33</v>
      </c>
      <c r="J30" s="10" t="n">
        <v>133.33</v>
      </c>
      <c r="K30" s="10" t="n">
        <v>133.33</v>
      </c>
      <c r="L30" s="10" t="n">
        <v>133.33</v>
      </c>
      <c r="M30" s="10" t="n">
        <v>133.33</v>
      </c>
      <c r="N30" s="21">
        <f>SUM($B30:$M30)</f>
        <v/>
      </c>
      <c r="O30" s="22">
        <f>IFERROR($N30/$N12,"")</f>
        <v/>
      </c>
    </row>
    <row r="31">
      <c r="A31" s="23" t="inlineStr">
        <is>
          <t>Total overheads</t>
        </is>
      </c>
      <c r="B31" s="15">
        <f>SUM(B25:B30)</f>
        <v/>
      </c>
      <c r="C31" s="15">
        <f>SUM(C25:C30)</f>
        <v/>
      </c>
      <c r="D31" s="15">
        <f>SUM(D25:D30)</f>
        <v/>
      </c>
      <c r="E31" s="15">
        <f>SUM(E25:E30)</f>
        <v/>
      </c>
      <c r="F31" s="15">
        <f>SUM(F25:F30)</f>
        <v/>
      </c>
      <c r="G31" s="15">
        <f>SUM(G25:G30)</f>
        <v/>
      </c>
      <c r="H31" s="15">
        <f>SUM(H25:H30)</f>
        <v/>
      </c>
      <c r="I31" s="15">
        <f>SUM(I25:I30)</f>
        <v/>
      </c>
      <c r="J31" s="15">
        <f>SUM(J25:J30)</f>
        <v/>
      </c>
      <c r="K31" s="15">
        <f>SUM(K25:K30)</f>
        <v/>
      </c>
      <c r="L31" s="15">
        <f>SUM(L25:L30)</f>
        <v/>
      </c>
      <c r="M31" s="15">
        <f>SUM(M25:M30)</f>
        <v/>
      </c>
      <c r="N31" s="15">
        <f>SUM($B31:$M31)</f>
        <v/>
      </c>
      <c r="O31" s="22">
        <f>IFERROR($N31/$N12,"")</f>
        <v/>
      </c>
    </row>
    <row r="33">
      <c r="A33" s="23" t="inlineStr">
        <is>
          <t>Profit before tax</t>
        </is>
      </c>
      <c r="B33" s="15">
        <f>B22-B31</f>
        <v/>
      </c>
      <c r="C33" s="15">
        <f>C22-C31</f>
        <v/>
      </c>
      <c r="D33" s="15">
        <f>D22-D31</f>
        <v/>
      </c>
      <c r="E33" s="15">
        <f>E22-E31</f>
        <v/>
      </c>
      <c r="F33" s="15">
        <f>F22-F31</f>
        <v/>
      </c>
      <c r="G33" s="15">
        <f>G22-G31</f>
        <v/>
      </c>
      <c r="H33" s="15">
        <f>H22-H31</f>
        <v/>
      </c>
      <c r="I33" s="15">
        <f>I22-I31</f>
        <v/>
      </c>
      <c r="J33" s="15">
        <f>J22-J31</f>
        <v/>
      </c>
      <c r="K33" s="15">
        <f>K22-K31</f>
        <v/>
      </c>
      <c r="L33" s="15">
        <f>L22-L31</f>
        <v/>
      </c>
      <c r="M33" s="15">
        <f>M22-M31</f>
        <v/>
      </c>
      <c r="N33" s="15">
        <f>SUM($B33:$M33)</f>
        <v/>
      </c>
      <c r="O33" s="22">
        <f>IFERROR($N33/$N12,"")</f>
        <v/>
      </c>
    </row>
    <row r="35">
      <c r="A35" s="14" t="inlineStr">
        <is>
          <t>Net margin</t>
        </is>
      </c>
      <c r="B35" s="18">
        <f>IFERROR($N33/$N12,"")</f>
        <v/>
      </c>
      <c r="C35" s="17" t="inlineStr">
        <is>
          <t>Turnover, not gross sales.</t>
        </is>
      </c>
    </row>
    <row r="36">
      <c r="A36" s="14" t="inlineStr">
        <is>
          <t>Gross margin</t>
        </is>
      </c>
      <c r="B36" s="18">
        <f>IFERROR($N16/$N12,"")</f>
        <v/>
      </c>
    </row>
    <row r="37">
      <c r="A37" s="14" t="inlineStr">
        <is>
          <t>Everything the platforms took</t>
        </is>
      </c>
      <c r="B37" s="15">
        <f>$N19+$N20</f>
        <v/>
      </c>
      <c r="C37" s="17" t="inlineStr">
        <is>
          <t>Fees and advertising together.</t>
        </is>
      </c>
    </row>
    <row r="38">
      <c r="A38" s="14" t="inlineStr">
        <is>
          <t xml:space="preserve">  as a share of turnover</t>
        </is>
      </c>
      <c r="B38" s="18">
        <f>IFERROR(($N19+$N20)/$N12,"")</f>
        <v/>
      </c>
    </row>
  </sheetData>
  <conditionalFormatting sqref="B33:N33">
    <cfRule type="cellIs" priority="1" operator="lessThan" dxfId="0">
      <formula>0</formula>
    </cfRule>
  </conditionalFormatting>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29"/>
  <sheetViews>
    <sheetView showGridLines="0" workbookViewId="0">
      <selection activeCell="A1" sqref="A1"/>
    </sheetView>
  </sheetViews>
  <sheetFormatPr baseColWidth="8" defaultRowHeight="15"/>
  <cols>
    <col width="14" customWidth="1" min="1" max="1"/>
    <col width="12" customWidth="1" min="2" max="2"/>
    <col width="11" customWidth="1" min="3" max="3"/>
    <col width="12" customWidth="1" min="4" max="4"/>
    <col width="13" customWidth="1" min="5" max="5"/>
    <col width="13" customWidth="1" min="6" max="6"/>
    <col width="12" customWidth="1" min="7" max="7"/>
    <col width="15" customWidth="1" min="8" max="8"/>
    <col width="13" customWidth="1" min="9" max="9"/>
    <col width="15" customWidth="1" min="10" max="10"/>
  </cols>
  <sheetData>
    <row r="1">
      <c r="A1" s="1" t="inlineStr">
        <is>
          <t>ZAZEN TAX</t>
        </is>
      </c>
    </row>
    <row r="2">
      <c r="A2" s="2" t="inlineStr">
        <is>
          <t>Which channel actually pays</t>
        </is>
      </c>
    </row>
    <row r="5">
      <c r="A5" s="3" t="inlineStr">
        <is>
          <t>Overheads are not split across channels, because they do not go away when a channel does. Contribution is what each one puts towards them.</t>
        </is>
      </c>
    </row>
    <row r="7" ht="28" customHeight="1">
      <c r="A7" s="6" t="inlineStr">
        <is>
          <t>Channel</t>
        </is>
      </c>
      <c r="B7" s="6" t="inlineStr">
        <is>
          <t>Gross sales</t>
        </is>
      </c>
      <c r="C7" s="6" t="inlineStr">
        <is>
          <t>Refunds</t>
        </is>
      </c>
      <c r="D7" s="6" t="inlineStr">
        <is>
          <t>Turnover</t>
        </is>
      </c>
      <c r="E7" s="6" t="inlineStr">
        <is>
          <t>Cost of goods</t>
        </is>
      </c>
      <c r="F7" s="6" t="inlineStr">
        <is>
          <t>Platform fees</t>
        </is>
      </c>
      <c r="G7" s="6" t="inlineStr">
        <is>
          <t>Advertising</t>
        </is>
      </c>
      <c r="H7" s="6" t="inlineStr">
        <is>
          <t>Post and packing</t>
        </is>
      </c>
      <c r="I7" s="6" t="inlineStr">
        <is>
          <t>Contribution</t>
        </is>
      </c>
      <c r="J7" s="6" t="inlineStr">
        <is>
          <t>As % of turnover</t>
        </is>
      </c>
    </row>
    <row r="8">
      <c r="A8" s="23" t="inlineStr">
        <is>
          <t>Amazon</t>
        </is>
      </c>
      <c r="B8" s="21">
        <f>SUMIF(Channels!$C$8:$C$55,$A8,Channels!$D$8:$D$55)</f>
        <v/>
      </c>
      <c r="C8" s="21">
        <f>SUMIF(Channels!$C$8:$C$55,$A8,Channels!$E$8:$E$55)</f>
        <v/>
      </c>
      <c r="D8" s="21">
        <f>$B8-$C8</f>
        <v/>
      </c>
      <c r="E8" s="21">
        <f>SUMIF(Channels!$C$8:$C$55,$A8,Channels!$F$8:$F$55)</f>
        <v/>
      </c>
      <c r="F8" s="21">
        <f>SUMIF(Channels!$C$8:$C$55,$A8,Channels!$G$8:$G$55)</f>
        <v/>
      </c>
      <c r="G8" s="21">
        <f>SUMIF(Channels!$C$8:$C$55,$A8,Channels!$H$8:$H$55)</f>
        <v/>
      </c>
      <c r="H8" s="21">
        <f>SUMIF(Channels!$C$8:$C$55,$A8,Channels!$I$8:$I$55)</f>
        <v/>
      </c>
      <c r="I8" s="15">
        <f>$D8-$E8-$F8-$G8-$H8</f>
        <v/>
      </c>
      <c r="J8" s="24">
        <f>IFERROR($I8/$D8,"")</f>
        <v/>
      </c>
    </row>
    <row r="9">
      <c r="A9" s="23" t="inlineStr">
        <is>
          <t>eBay</t>
        </is>
      </c>
      <c r="B9" s="21">
        <f>SUMIF(Channels!$C$8:$C$55,$A9,Channels!$D$8:$D$55)</f>
        <v/>
      </c>
      <c r="C9" s="21">
        <f>SUMIF(Channels!$C$8:$C$55,$A9,Channels!$E$8:$E$55)</f>
        <v/>
      </c>
      <c r="D9" s="21">
        <f>$B9-$C9</f>
        <v/>
      </c>
      <c r="E9" s="21">
        <f>SUMIF(Channels!$C$8:$C$55,$A9,Channels!$F$8:$F$55)</f>
        <v/>
      </c>
      <c r="F9" s="21">
        <f>SUMIF(Channels!$C$8:$C$55,$A9,Channels!$G$8:$G$55)</f>
        <v/>
      </c>
      <c r="G9" s="21">
        <f>SUMIF(Channels!$C$8:$C$55,$A9,Channels!$H$8:$H$55)</f>
        <v/>
      </c>
      <c r="H9" s="21">
        <f>SUMIF(Channels!$C$8:$C$55,$A9,Channels!$I$8:$I$55)</f>
        <v/>
      </c>
      <c r="I9" s="15">
        <f>$D9-$E9-$F9-$G9-$H9</f>
        <v/>
      </c>
      <c r="J9" s="24">
        <f>IFERROR($I9/$D9,"")</f>
        <v/>
      </c>
    </row>
    <row r="10">
      <c r="A10" s="23" t="inlineStr">
        <is>
          <t>Etsy</t>
        </is>
      </c>
      <c r="B10" s="21">
        <f>SUMIF(Channels!$C$8:$C$55,$A10,Channels!$D$8:$D$55)</f>
        <v/>
      </c>
      <c r="C10" s="21">
        <f>SUMIF(Channels!$C$8:$C$55,$A10,Channels!$E$8:$E$55)</f>
        <v/>
      </c>
      <c r="D10" s="21">
        <f>$B10-$C10</f>
        <v/>
      </c>
      <c r="E10" s="21">
        <f>SUMIF(Channels!$C$8:$C$55,$A10,Channels!$F$8:$F$55)</f>
        <v/>
      </c>
      <c r="F10" s="21">
        <f>SUMIF(Channels!$C$8:$C$55,$A10,Channels!$G$8:$G$55)</f>
        <v/>
      </c>
      <c r="G10" s="21">
        <f>SUMIF(Channels!$C$8:$C$55,$A10,Channels!$H$8:$H$55)</f>
        <v/>
      </c>
      <c r="H10" s="21">
        <f>SUMIF(Channels!$C$8:$C$55,$A10,Channels!$I$8:$I$55)</f>
        <v/>
      </c>
      <c r="I10" s="15">
        <f>$D10-$E10-$F10-$G10-$H10</f>
        <v/>
      </c>
      <c r="J10" s="24">
        <f>IFERROR($I10/$D10,"")</f>
        <v/>
      </c>
    </row>
    <row r="11">
      <c r="A11" s="23" t="inlineStr">
        <is>
          <t>Own site</t>
        </is>
      </c>
      <c r="B11" s="21">
        <f>SUMIF(Channels!$C$8:$C$55,$A11,Channels!$D$8:$D$55)</f>
        <v/>
      </c>
      <c r="C11" s="21">
        <f>SUMIF(Channels!$C$8:$C$55,$A11,Channels!$E$8:$E$55)</f>
        <v/>
      </c>
      <c r="D11" s="21">
        <f>$B11-$C11</f>
        <v/>
      </c>
      <c r="E11" s="21">
        <f>SUMIF(Channels!$C$8:$C$55,$A11,Channels!$F$8:$F$55)</f>
        <v/>
      </c>
      <c r="F11" s="21">
        <f>SUMIF(Channels!$C$8:$C$55,$A11,Channels!$G$8:$G$55)</f>
        <v/>
      </c>
      <c r="G11" s="21">
        <f>SUMIF(Channels!$C$8:$C$55,$A11,Channels!$H$8:$H$55)</f>
        <v/>
      </c>
      <c r="H11" s="21">
        <f>SUMIF(Channels!$C$8:$C$55,$A11,Channels!$I$8:$I$55)</f>
        <v/>
      </c>
      <c r="I11" s="15">
        <f>$D11-$E11-$F11-$G11-$H11</f>
        <v/>
      </c>
      <c r="J11" s="24">
        <f>IFERROR($I11/$D11,"")</f>
        <v/>
      </c>
    </row>
    <row r="12">
      <c r="A12" s="23" t="inlineStr">
        <is>
          <t>All four</t>
        </is>
      </c>
      <c r="B12" s="15">
        <f>SUM($B$8:$B$11)</f>
        <v/>
      </c>
      <c r="C12" s="15">
        <f>SUM($C$8:$C$11)</f>
        <v/>
      </c>
      <c r="D12" s="15">
        <f>SUM($D$8:$D$11)</f>
        <v/>
      </c>
      <c r="E12" s="15">
        <f>SUM($E$8:$E$11)</f>
        <v/>
      </c>
      <c r="F12" s="15">
        <f>SUM($F$8:$F$11)</f>
        <v/>
      </c>
      <c r="G12" s="15">
        <f>SUM($G$8:$G$11)</f>
        <v/>
      </c>
      <c r="H12" s="15">
        <f>SUM($H$8:$H$11)</f>
        <v/>
      </c>
      <c r="I12" s="15">
        <f>SUM($I$8:$I$11)</f>
        <v/>
      </c>
      <c r="J12" s="18">
        <f>IFERROR($I12/$D12,"")</f>
        <v/>
      </c>
    </row>
    <row r="14" ht="19" customHeight="1">
      <c r="A14" s="12" t="inlineStr">
        <is>
          <t xml:space="preserve">  Ranked on what each puts in</t>
        </is>
      </c>
      <c r="B14" s="13" t="n"/>
      <c r="C14" s="13" t="n"/>
      <c r="D14" s="13" t="n"/>
      <c r="E14" s="13" t="n"/>
      <c r="F14" s="13" t="n"/>
      <c r="G14" s="13" t="n"/>
      <c r="H14" s="13" t="n"/>
      <c r="I14" s="13" t="n"/>
      <c r="J14" s="13" t="n"/>
    </row>
    <row r="15">
      <c r="A15" s="19" t="inlineStr">
        <is>
          <t>Rank</t>
        </is>
      </c>
      <c r="B15" s="19" t="inlineStr">
        <is>
          <t>Channel</t>
        </is>
      </c>
      <c r="C15" s="19" t="inlineStr">
        <is>
          <t>Contribution</t>
        </is>
      </c>
      <c r="D15" s="19" t="inlineStr">
        <is>
          <t>Margin</t>
        </is>
      </c>
    </row>
    <row r="16">
      <c r="A16" s="25" t="n">
        <v>1</v>
      </c>
      <c r="B16" s="23">
        <f>IFERROR(INDEX($A$8:$A$11,MATCH(LARGE($I$8:$I$11,1),$I$8:$I$11,0)),"")</f>
        <v/>
      </c>
      <c r="C16" s="21">
        <f>IFERROR(LARGE($I$8:$I$11,1),"")</f>
        <v/>
      </c>
      <c r="D16" s="24">
        <f>IFERROR(INDEX($J$8:$J$11,MATCH(LARGE($I$8:$I$11,1),$I$8:$I$11,0)),"")</f>
        <v/>
      </c>
    </row>
    <row r="17">
      <c r="A17" s="25" t="n">
        <v>2</v>
      </c>
      <c r="B17" s="23">
        <f>IFERROR(INDEX($A$8:$A$11,MATCH(LARGE($I$8:$I$11,2),$I$8:$I$11,0)),"")</f>
        <v/>
      </c>
      <c r="C17" s="21">
        <f>IFERROR(LARGE($I$8:$I$11,2),"")</f>
        <v/>
      </c>
      <c r="D17" s="24">
        <f>IFERROR(INDEX($J$8:$J$11,MATCH(LARGE($I$8:$I$11,2),$I$8:$I$11,0)),"")</f>
        <v/>
      </c>
    </row>
    <row r="18">
      <c r="A18" s="25" t="n">
        <v>3</v>
      </c>
      <c r="B18" s="23">
        <f>IFERROR(INDEX($A$8:$A$11,MATCH(LARGE($I$8:$I$11,3),$I$8:$I$11,0)),"")</f>
        <v/>
      </c>
      <c r="C18" s="21">
        <f>IFERROR(LARGE($I$8:$I$11,3),"")</f>
        <v/>
      </c>
      <c r="D18" s="24">
        <f>IFERROR(INDEX($J$8:$J$11,MATCH(LARGE($I$8:$I$11,3),$I$8:$I$11,0)),"")</f>
        <v/>
      </c>
    </row>
    <row r="19">
      <c r="A19" s="25" t="n">
        <v>4</v>
      </c>
      <c r="B19" s="23">
        <f>IFERROR(INDEX($A$8:$A$11,MATCH(LARGE($I$8:$I$11,4),$I$8:$I$11,0)),"")</f>
        <v/>
      </c>
      <c r="C19" s="21">
        <f>IFERROR(LARGE($I$8:$I$11,4),"")</f>
        <v/>
      </c>
      <c r="D19" s="24">
        <f>IFERROR(INDEX($J$8:$J$11,MATCH(LARGE($I$8:$I$11,4),$I$8:$I$11,0)),"")</f>
        <v/>
      </c>
    </row>
    <row r="21">
      <c r="A21" s="14" t="inlineStr">
        <is>
          <t>Biggest contributor</t>
        </is>
      </c>
      <c r="B21" s="23">
        <f>IFERROR(INDEX($A$8:$A$11,MATCH(MAX($I$8:$I$11),$I$8:$I$11,0)),"")</f>
        <v/>
      </c>
      <c r="C21" s="17" t="inlineStr">
        <is>
          <t>The most money towards the overheads, in pounds.</t>
        </is>
      </c>
    </row>
    <row r="22">
      <c r="A22" s="14" t="inlineStr">
        <is>
          <t xml:space="preserve">  at a margin of</t>
        </is>
      </c>
      <c r="B22" s="18">
        <f>IFERROR(INDEX($J$8:$J$11,MATCH(MAX($I$8:$I$11),$I$8:$I$11,0)),"")</f>
        <v/>
      </c>
    </row>
    <row r="23">
      <c r="A23" s="14" t="inlineStr">
        <is>
          <t>Best margin</t>
        </is>
      </c>
      <c r="B23" s="23">
        <f>IFERROR(INDEX($A$8:$A$11,MATCH(MAX($J$8:$J$11),$J$8:$J$11,0)),"")</f>
        <v/>
      </c>
      <c r="C23" s="17" t="inlineStr">
        <is>
          <t>The most kept per pound of turnover.</t>
        </is>
      </c>
    </row>
    <row r="24">
      <c r="A24" s="14" t="inlineStr">
        <is>
          <t xml:space="preserve">  keeping</t>
        </is>
      </c>
      <c r="B24" s="18">
        <f>IFERROR(MAX($J$8:$J$11),"")</f>
        <v/>
      </c>
    </row>
    <row r="25">
      <c r="A25" s="14" t="inlineStr">
        <is>
          <t>Margin spread, best against worst</t>
        </is>
      </c>
      <c r="B25" s="18">
        <f>IFERROR(MAX($J$8:$J$11)-MIN($J$8:$J$11),"")</f>
        <v/>
      </c>
      <c r="C25" s="17" t="inlineStr">
        <is>
          <t>How much more of a pound the best channel keeps than the worst.</t>
        </is>
      </c>
    </row>
    <row r="26">
      <c r="A26" s="14" t="inlineStr">
        <is>
          <t>Do they name the same channel</t>
        </is>
      </c>
      <c r="B26" s="23">
        <f>IF(INDEX($A$8:$A$11,MATCH(MAX($I$8:$I$11),$I$8:$I$11,0))=INDEX($A$8:$A$11,MATCH(MAX($J$8:$J$11),$J$8:$J$11,0)),"Yes, one channel wins on both","No, the biggest earner is not the best margin")</f>
        <v/>
      </c>
    </row>
    <row r="28">
      <c r="A28" s="26" t="inlineStr">
        <is>
          <t>These two questions rarely have the same answer. The channel that brings in the most money is usually the one taking the biggest cut, because volume is what you are paying the fee for.</t>
        </is>
      </c>
    </row>
    <row r="29">
      <c r="A29" s="26" t="inlineStr">
        <is>
          <t>A thin margin is not by itself a reason to drop a channel. It may be carrying volume that the overheads are already paid for.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45"/>
  <sheetViews>
    <sheetView showGridLines="0" workbookViewId="0">
      <selection activeCell="A1" sqref="A1"/>
    </sheetView>
  </sheetViews>
  <sheetFormatPr baseColWidth="8" defaultRowHeight="15"/>
  <cols>
    <col width="12" customWidth="1" min="1" max="1"/>
    <col width="15" customWidth="1" min="2" max="2"/>
    <col width="13" customWidth="1" min="3" max="3"/>
    <col width="19" customWidth="1" min="4" max="4"/>
    <col width="18" customWidth="1" min="5" max="5"/>
    <col width="15" customWidth="1" min="6" max="6"/>
    <col width="15" customWidth="1" min="7" max="7"/>
    <col width="12" customWidth="1" min="8" max="8"/>
  </cols>
  <sheetData>
    <row r="1">
      <c r="A1" s="1" t="inlineStr">
        <is>
          <t>ZAZEN TAX</t>
        </is>
      </c>
    </row>
    <row r="2">
      <c r="A2" s="2" t="inlineStr">
        <is>
          <t>The rolling twelve month test, done twice</t>
        </is>
      </c>
    </row>
    <row r="5">
      <c r="A5" s="3" t="inlineStr">
        <is>
          <t>Once on taxable turnover, which is what HMRC measures, and once on the payouts, which is what your bank statement shows. The gap is the point.</t>
        </is>
      </c>
    </row>
    <row r="6">
      <c r="A6" s="14" t="inlineStr">
        <is>
          <t>The threshold</t>
        </is>
      </c>
      <c r="B6" s="27" t="n">
        <v>90000</v>
      </c>
      <c r="C6" s="17" t="inlineStr">
        <is>
          <t>Taxable turnover in any rolling twelve months.</t>
        </is>
      </c>
    </row>
    <row r="9" ht="28" customHeight="1">
      <c r="A9" s="6" t="inlineStr">
        <is>
          <t>Month</t>
        </is>
      </c>
      <c r="B9" s="6" t="inlineStr">
        <is>
          <t>Taxable turnover</t>
        </is>
      </c>
      <c r="C9" s="6" t="inlineStr">
        <is>
          <t>Net payouts</t>
        </is>
      </c>
      <c r="D9" s="6" t="inlineStr">
        <is>
          <t>Rolling 12m, turnover</t>
        </is>
      </c>
      <c r="E9" s="6" t="inlineStr">
        <is>
          <t>Rolling 12m, payouts</t>
        </is>
      </c>
      <c r="F9" s="6" t="inlineStr">
        <is>
          <t>Over on turnover</t>
        </is>
      </c>
      <c r="G9" s="6" t="inlineStr">
        <is>
          <t>Over on payouts</t>
        </is>
      </c>
      <c r="H9" s="6" t="inlineStr">
        <is>
          <t>The gap</t>
        </is>
      </c>
    </row>
    <row r="10">
      <c r="A10" s="9" t="inlineStr">
        <is>
          <t>Apr 2025</t>
        </is>
      </c>
      <c r="B10" s="10" t="n">
        <v>4900</v>
      </c>
      <c r="C10" s="10" t="n">
        <v>3960</v>
      </c>
      <c r="D10" s="11" t="n"/>
      <c r="E10" s="11" t="n"/>
      <c r="F10" s="11" t="n"/>
      <c r="G10" s="11" t="n"/>
      <c r="H10" s="11" t="n"/>
    </row>
    <row r="11">
      <c r="A11" s="9" t="inlineStr">
        <is>
          <t>May 2025</t>
        </is>
      </c>
      <c r="B11" s="10" t="n">
        <v>5200</v>
      </c>
      <c r="C11" s="10" t="n">
        <v>4210</v>
      </c>
      <c r="D11" s="11" t="n"/>
      <c r="E11" s="11" t="n"/>
      <c r="F11" s="11" t="n"/>
      <c r="G11" s="11" t="n"/>
      <c r="H11" s="11" t="n"/>
    </row>
    <row r="12">
      <c r="A12" s="9" t="inlineStr">
        <is>
          <t>Jun 2025</t>
        </is>
      </c>
      <c r="B12" s="10" t="n">
        <v>5050</v>
      </c>
      <c r="C12" s="10" t="n">
        <v>4090</v>
      </c>
      <c r="D12" s="11" t="n"/>
      <c r="E12" s="11" t="n"/>
      <c r="F12" s="11" t="n"/>
      <c r="G12" s="11" t="n"/>
      <c r="H12" s="11" t="n"/>
    </row>
    <row r="13">
      <c r="A13" s="9" t="inlineStr">
        <is>
          <t>Jul 2025</t>
        </is>
      </c>
      <c r="B13" s="10" t="n">
        <v>5300</v>
      </c>
      <c r="C13" s="10" t="n">
        <v>4290</v>
      </c>
      <c r="D13" s="11" t="n"/>
      <c r="E13" s="11" t="n"/>
      <c r="F13" s="11" t="n"/>
      <c r="G13" s="11" t="n"/>
      <c r="H13" s="11" t="n"/>
    </row>
    <row r="14">
      <c r="A14" s="9" t="inlineStr">
        <is>
          <t>Aug 2025</t>
        </is>
      </c>
      <c r="B14" s="10" t="n">
        <v>5600</v>
      </c>
      <c r="C14" s="10" t="n">
        <v>4530</v>
      </c>
      <c r="D14" s="11" t="n"/>
      <c r="E14" s="11" t="n"/>
      <c r="F14" s="11" t="n"/>
      <c r="G14" s="11" t="n"/>
      <c r="H14" s="11" t="n"/>
    </row>
    <row r="15">
      <c r="A15" s="9" t="inlineStr">
        <is>
          <t>Sep 2025</t>
        </is>
      </c>
      <c r="B15" s="10" t="n">
        <v>6100</v>
      </c>
      <c r="C15" s="10" t="n">
        <v>4940</v>
      </c>
      <c r="D15" s="11" t="n"/>
      <c r="E15" s="11" t="n"/>
      <c r="F15" s="11" t="n"/>
      <c r="G15" s="11" t="n"/>
      <c r="H15" s="11" t="n"/>
    </row>
    <row r="16">
      <c r="A16" s="9" t="inlineStr">
        <is>
          <t>Oct 2025</t>
        </is>
      </c>
      <c r="B16" s="10" t="n">
        <v>7400</v>
      </c>
      <c r="C16" s="10" t="n">
        <v>5990</v>
      </c>
      <c r="D16" s="11" t="n"/>
      <c r="E16" s="11" t="n"/>
      <c r="F16" s="11" t="n"/>
      <c r="G16" s="11" t="n"/>
      <c r="H16" s="11" t="n"/>
    </row>
    <row r="17">
      <c r="A17" s="9" t="inlineStr">
        <is>
          <t>Nov 2025</t>
        </is>
      </c>
      <c r="B17" s="10" t="n">
        <v>9800</v>
      </c>
      <c r="C17" s="10" t="n">
        <v>7930</v>
      </c>
      <c r="D17" s="11" t="n"/>
      <c r="E17" s="11" t="n"/>
      <c r="F17" s="11" t="n"/>
      <c r="G17" s="11" t="n"/>
      <c r="H17" s="11" t="n"/>
    </row>
    <row r="18">
      <c r="A18" s="9" t="inlineStr">
        <is>
          <t>Dec 2025</t>
        </is>
      </c>
      <c r="B18" s="10" t="n">
        <v>9200</v>
      </c>
      <c r="C18" s="10" t="n">
        <v>7450</v>
      </c>
      <c r="D18" s="11" t="n"/>
      <c r="E18" s="11" t="n"/>
      <c r="F18" s="11" t="n"/>
      <c r="G18" s="11" t="n"/>
      <c r="H18" s="11" t="n"/>
    </row>
    <row r="19">
      <c r="A19" s="9" t="inlineStr">
        <is>
          <t>Jan 2026</t>
        </is>
      </c>
      <c r="B19" s="10" t="n">
        <v>5400</v>
      </c>
      <c r="C19" s="10" t="n">
        <v>4370</v>
      </c>
      <c r="D19" s="11" t="n"/>
      <c r="E19" s="11" t="n"/>
      <c r="F19" s="11" t="n"/>
      <c r="G19" s="11" t="n"/>
      <c r="H19" s="11" t="n"/>
    </row>
    <row r="20">
      <c r="A20" s="9" t="inlineStr">
        <is>
          <t>Feb 2026</t>
        </is>
      </c>
      <c r="B20" s="10" t="n">
        <v>5900</v>
      </c>
      <c r="C20" s="10" t="n">
        <v>4780</v>
      </c>
      <c r="D20" s="11" t="n"/>
      <c r="E20" s="11" t="n"/>
      <c r="F20" s="11" t="n"/>
      <c r="G20" s="11" t="n"/>
      <c r="H20" s="11" t="n"/>
    </row>
    <row r="21">
      <c r="A21" s="9" t="inlineStr">
        <is>
          <t>Mar 2026</t>
        </is>
      </c>
      <c r="B21" s="10" t="n">
        <v>6600</v>
      </c>
      <c r="C21" s="10" t="n">
        <v>5340</v>
      </c>
      <c r="D21" s="21">
        <f>SUM($B10:$B21)</f>
        <v/>
      </c>
      <c r="E21" s="21">
        <f>SUM($C10:$C21)</f>
        <v/>
      </c>
      <c r="F21" s="25">
        <f>IF($D21&gt;=$B$6,1,0)</f>
        <v/>
      </c>
      <c r="G21" s="25">
        <f>IF($E21&gt;=$B$6,1,0)</f>
        <v/>
      </c>
      <c r="H21" s="21">
        <f>$D21-$E21</f>
        <v/>
      </c>
    </row>
    <row r="22">
      <c r="A22" s="28" t="n">
        <v>46113</v>
      </c>
      <c r="B22" s="21">
        <f>'P and L'!$B$12</f>
        <v/>
      </c>
      <c r="C22" s="21">
        <f>$B22-SUMIF(Channels!$A$8:$A$55,1,Channels!$G$8:$G$55)-SUMIF(Channels!$J$8:$J$55,"1|Amazon",Channels!$H$8:$H$55)-SUMIF(Channels!$J$8:$J$55,"1|eBay",Channels!$H$8:$H$55)-SUMIF(Channels!$J$8:$J$55,"1|Etsy",Channels!$H$8:$H$55)</f>
        <v/>
      </c>
      <c r="D22" s="21">
        <f>SUM($B11:$B22)</f>
        <v/>
      </c>
      <c r="E22" s="21">
        <f>SUM($C11:$C22)</f>
        <v/>
      </c>
      <c r="F22" s="25">
        <f>IF($D22&gt;=$B$6,1,0)</f>
        <v/>
      </c>
      <c r="G22" s="25">
        <f>IF($E22&gt;=$B$6,1,0)</f>
        <v/>
      </c>
      <c r="H22" s="21">
        <f>$D22-$E22</f>
        <v/>
      </c>
    </row>
    <row r="23">
      <c r="A23" s="28" t="n">
        <v>46143</v>
      </c>
      <c r="B23" s="21">
        <f>'P and L'!$C$12</f>
        <v/>
      </c>
      <c r="C23" s="21">
        <f>$B23-SUMIF(Channels!$A$8:$A$55,2,Channels!$G$8:$G$55)-SUMIF(Channels!$J$8:$J$55,"2|Amazon",Channels!$H$8:$H$55)-SUMIF(Channels!$J$8:$J$55,"2|eBay",Channels!$H$8:$H$55)-SUMIF(Channels!$J$8:$J$55,"2|Etsy",Channels!$H$8:$H$55)</f>
        <v/>
      </c>
      <c r="D23" s="21">
        <f>SUM($B12:$B23)</f>
        <v/>
      </c>
      <c r="E23" s="21">
        <f>SUM($C12:$C23)</f>
        <v/>
      </c>
      <c r="F23" s="25">
        <f>IF($D23&gt;=$B$6,1,0)</f>
        <v/>
      </c>
      <c r="G23" s="25">
        <f>IF($E23&gt;=$B$6,1,0)</f>
        <v/>
      </c>
      <c r="H23" s="21">
        <f>$D23-$E23</f>
        <v/>
      </c>
    </row>
    <row r="24">
      <c r="A24" s="28" t="n">
        <v>46174</v>
      </c>
      <c r="B24" s="21">
        <f>'P and L'!$D$12</f>
        <v/>
      </c>
      <c r="C24" s="21">
        <f>$B24-SUMIF(Channels!$A$8:$A$55,3,Channels!$G$8:$G$55)-SUMIF(Channels!$J$8:$J$55,"3|Amazon",Channels!$H$8:$H$55)-SUMIF(Channels!$J$8:$J$55,"3|eBay",Channels!$H$8:$H$55)-SUMIF(Channels!$J$8:$J$55,"3|Etsy",Channels!$H$8:$H$55)</f>
        <v/>
      </c>
      <c r="D24" s="21">
        <f>SUM($B13:$B24)</f>
        <v/>
      </c>
      <c r="E24" s="21">
        <f>SUM($C13:$C24)</f>
        <v/>
      </c>
      <c r="F24" s="25">
        <f>IF($D24&gt;=$B$6,1,0)</f>
        <v/>
      </c>
      <c r="G24" s="25">
        <f>IF($E24&gt;=$B$6,1,0)</f>
        <v/>
      </c>
      <c r="H24" s="21">
        <f>$D24-$E24</f>
        <v/>
      </c>
    </row>
    <row r="25">
      <c r="A25" s="28" t="n">
        <v>46204</v>
      </c>
      <c r="B25" s="21">
        <f>'P and L'!$E$12</f>
        <v/>
      </c>
      <c r="C25" s="21">
        <f>$B25-SUMIF(Channels!$A$8:$A$55,4,Channels!$G$8:$G$55)-SUMIF(Channels!$J$8:$J$55,"4|Amazon",Channels!$H$8:$H$55)-SUMIF(Channels!$J$8:$J$55,"4|eBay",Channels!$H$8:$H$55)-SUMIF(Channels!$J$8:$J$55,"4|Etsy",Channels!$H$8:$H$55)</f>
        <v/>
      </c>
      <c r="D25" s="21">
        <f>SUM($B14:$B25)</f>
        <v/>
      </c>
      <c r="E25" s="21">
        <f>SUM($C14:$C25)</f>
        <v/>
      </c>
      <c r="F25" s="25">
        <f>IF($D25&gt;=$B$6,1,0)</f>
        <v/>
      </c>
      <c r="G25" s="25">
        <f>IF($E25&gt;=$B$6,1,0)</f>
        <v/>
      </c>
      <c r="H25" s="21">
        <f>$D25-$E25</f>
        <v/>
      </c>
    </row>
    <row r="26">
      <c r="A26" s="28" t="n">
        <v>46235</v>
      </c>
      <c r="B26" s="21">
        <f>'P and L'!$F$12</f>
        <v/>
      </c>
      <c r="C26" s="21">
        <f>$B26-SUMIF(Channels!$A$8:$A$55,5,Channels!$G$8:$G$55)-SUMIF(Channels!$J$8:$J$55,"5|Amazon",Channels!$H$8:$H$55)-SUMIF(Channels!$J$8:$J$55,"5|eBay",Channels!$H$8:$H$55)-SUMIF(Channels!$J$8:$J$55,"5|Etsy",Channels!$H$8:$H$55)</f>
        <v/>
      </c>
      <c r="D26" s="21">
        <f>SUM($B15:$B26)</f>
        <v/>
      </c>
      <c r="E26" s="21">
        <f>SUM($C15:$C26)</f>
        <v/>
      </c>
      <c r="F26" s="25">
        <f>IF($D26&gt;=$B$6,1,0)</f>
        <v/>
      </c>
      <c r="G26" s="25">
        <f>IF($E26&gt;=$B$6,1,0)</f>
        <v/>
      </c>
      <c r="H26" s="21">
        <f>$D26-$E26</f>
        <v/>
      </c>
    </row>
    <row r="27">
      <c r="A27" s="28" t="n">
        <v>46266</v>
      </c>
      <c r="B27" s="21">
        <f>'P and L'!$G$12</f>
        <v/>
      </c>
      <c r="C27" s="21">
        <f>$B27-SUMIF(Channels!$A$8:$A$55,6,Channels!$G$8:$G$55)-SUMIF(Channels!$J$8:$J$55,"6|Amazon",Channels!$H$8:$H$55)-SUMIF(Channels!$J$8:$J$55,"6|eBay",Channels!$H$8:$H$55)-SUMIF(Channels!$J$8:$J$55,"6|Etsy",Channels!$H$8:$H$55)</f>
        <v/>
      </c>
      <c r="D27" s="21">
        <f>SUM($B16:$B27)</f>
        <v/>
      </c>
      <c r="E27" s="21">
        <f>SUM($C16:$C27)</f>
        <v/>
      </c>
      <c r="F27" s="25">
        <f>IF($D27&gt;=$B$6,1,0)</f>
        <v/>
      </c>
      <c r="G27" s="25">
        <f>IF($E27&gt;=$B$6,1,0)</f>
        <v/>
      </c>
      <c r="H27" s="21">
        <f>$D27-$E27</f>
        <v/>
      </c>
    </row>
    <row r="28">
      <c r="A28" s="28" t="n">
        <v>46296</v>
      </c>
      <c r="B28" s="21">
        <f>'P and L'!$H$12</f>
        <v/>
      </c>
      <c r="C28" s="21">
        <f>$B28-SUMIF(Channels!$A$8:$A$55,7,Channels!$G$8:$G$55)-SUMIF(Channels!$J$8:$J$55,"7|Amazon",Channels!$H$8:$H$55)-SUMIF(Channels!$J$8:$J$55,"7|eBay",Channels!$H$8:$H$55)-SUMIF(Channels!$J$8:$J$55,"7|Etsy",Channels!$H$8:$H$55)</f>
        <v/>
      </c>
      <c r="D28" s="21">
        <f>SUM($B17:$B28)</f>
        <v/>
      </c>
      <c r="E28" s="21">
        <f>SUM($C17:$C28)</f>
        <v/>
      </c>
      <c r="F28" s="25">
        <f>IF($D28&gt;=$B$6,1,0)</f>
        <v/>
      </c>
      <c r="G28" s="25">
        <f>IF($E28&gt;=$B$6,1,0)</f>
        <v/>
      </c>
      <c r="H28" s="21">
        <f>$D28-$E28</f>
        <v/>
      </c>
    </row>
    <row r="29">
      <c r="A29" s="28" t="n">
        <v>46327</v>
      </c>
      <c r="B29" s="21">
        <f>'P and L'!$I$12</f>
        <v/>
      </c>
      <c r="C29" s="21">
        <f>$B29-SUMIF(Channels!$A$8:$A$55,8,Channels!$G$8:$G$55)-SUMIF(Channels!$J$8:$J$55,"8|Amazon",Channels!$H$8:$H$55)-SUMIF(Channels!$J$8:$J$55,"8|eBay",Channels!$H$8:$H$55)-SUMIF(Channels!$J$8:$J$55,"8|Etsy",Channels!$H$8:$H$55)</f>
        <v/>
      </c>
      <c r="D29" s="21">
        <f>SUM($B18:$B29)</f>
        <v/>
      </c>
      <c r="E29" s="21">
        <f>SUM($C18:$C29)</f>
        <v/>
      </c>
      <c r="F29" s="25">
        <f>IF($D29&gt;=$B$6,1,0)</f>
        <v/>
      </c>
      <c r="G29" s="25">
        <f>IF($E29&gt;=$B$6,1,0)</f>
        <v/>
      </c>
      <c r="H29" s="21">
        <f>$D29-$E29</f>
        <v/>
      </c>
    </row>
    <row r="30">
      <c r="A30" s="28" t="n">
        <v>46357</v>
      </c>
      <c r="B30" s="21">
        <f>'P and L'!$J$12</f>
        <v/>
      </c>
      <c r="C30" s="21">
        <f>$B30-SUMIF(Channels!$A$8:$A$55,9,Channels!$G$8:$G$55)-SUMIF(Channels!$J$8:$J$55,"9|Amazon",Channels!$H$8:$H$55)-SUMIF(Channels!$J$8:$J$55,"9|eBay",Channels!$H$8:$H$55)-SUMIF(Channels!$J$8:$J$55,"9|Etsy",Channels!$H$8:$H$55)</f>
        <v/>
      </c>
      <c r="D30" s="21">
        <f>SUM($B19:$B30)</f>
        <v/>
      </c>
      <c r="E30" s="21">
        <f>SUM($C19:$C30)</f>
        <v/>
      </c>
      <c r="F30" s="25">
        <f>IF($D30&gt;=$B$6,1,0)</f>
        <v/>
      </c>
      <c r="G30" s="25">
        <f>IF($E30&gt;=$B$6,1,0)</f>
        <v/>
      </c>
      <c r="H30" s="21">
        <f>$D30-$E30</f>
        <v/>
      </c>
    </row>
    <row r="31">
      <c r="A31" s="28" t="n">
        <v>46388</v>
      </c>
      <c r="B31" s="21">
        <f>'P and L'!$K$12</f>
        <v/>
      </c>
      <c r="C31" s="21">
        <f>$B31-SUMIF(Channels!$A$8:$A$55,10,Channels!$G$8:$G$55)-SUMIF(Channels!$J$8:$J$55,"10|Amazon",Channels!$H$8:$H$55)-SUMIF(Channels!$J$8:$J$55,"10|eBay",Channels!$H$8:$H$55)-SUMIF(Channels!$J$8:$J$55,"10|Etsy",Channels!$H$8:$H$55)</f>
        <v/>
      </c>
      <c r="D31" s="21">
        <f>SUM($B20:$B31)</f>
        <v/>
      </c>
      <c r="E31" s="21">
        <f>SUM($C20:$C31)</f>
        <v/>
      </c>
      <c r="F31" s="25">
        <f>IF($D31&gt;=$B$6,1,0)</f>
        <v/>
      </c>
      <c r="G31" s="25">
        <f>IF($E31&gt;=$B$6,1,0)</f>
        <v/>
      </c>
      <c r="H31" s="21">
        <f>$D31-$E31</f>
        <v/>
      </c>
    </row>
    <row r="32">
      <c r="A32" s="28" t="n">
        <v>46419</v>
      </c>
      <c r="B32" s="21">
        <f>'P and L'!$L$12</f>
        <v/>
      </c>
      <c r="C32" s="21">
        <f>$B32-SUMIF(Channels!$A$8:$A$55,11,Channels!$G$8:$G$55)-SUMIF(Channels!$J$8:$J$55,"11|Amazon",Channels!$H$8:$H$55)-SUMIF(Channels!$J$8:$J$55,"11|eBay",Channels!$H$8:$H$55)-SUMIF(Channels!$J$8:$J$55,"11|Etsy",Channels!$H$8:$H$55)</f>
        <v/>
      </c>
      <c r="D32" s="21">
        <f>SUM($B21:$B32)</f>
        <v/>
      </c>
      <c r="E32" s="21">
        <f>SUM($C21:$C32)</f>
        <v/>
      </c>
      <c r="F32" s="25">
        <f>IF($D32&gt;=$B$6,1,0)</f>
        <v/>
      </c>
      <c r="G32" s="25">
        <f>IF($E32&gt;=$B$6,1,0)</f>
        <v/>
      </c>
      <c r="H32" s="21">
        <f>$D32-$E32</f>
        <v/>
      </c>
    </row>
    <row r="33">
      <c r="A33" s="28" t="n">
        <v>46447</v>
      </c>
      <c r="B33" s="21">
        <f>'P and L'!$M$12</f>
        <v/>
      </c>
      <c r="C33" s="21">
        <f>$B33-SUMIF(Channels!$A$8:$A$55,12,Channels!$G$8:$G$55)-SUMIF(Channels!$J$8:$J$55,"12|Amazon",Channels!$H$8:$H$55)-SUMIF(Channels!$J$8:$J$55,"12|eBay",Channels!$H$8:$H$55)-SUMIF(Channels!$J$8:$J$55,"12|Etsy",Channels!$H$8:$H$55)</f>
        <v/>
      </c>
      <c r="D33" s="21">
        <f>SUM($B22:$B33)</f>
        <v/>
      </c>
      <c r="E33" s="21">
        <f>SUM($C22:$C33)</f>
        <v/>
      </c>
      <c r="F33" s="25">
        <f>IF($D33&gt;=$B$6,1,0)</f>
        <v/>
      </c>
      <c r="G33" s="25">
        <f>IF($E33&gt;=$B$6,1,0)</f>
        <v/>
      </c>
      <c r="H33" s="21">
        <f>$D33-$E33</f>
        <v/>
      </c>
    </row>
    <row r="35" ht="19" customHeight="1">
      <c r="A35" s="12" t="inlineStr">
        <is>
          <t xml:space="preserve">  What that means</t>
        </is>
      </c>
      <c r="B35" s="13" t="n"/>
      <c r="C35" s="13" t="n"/>
      <c r="D35" s="13" t="n"/>
      <c r="E35" s="13" t="n"/>
      <c r="F35" s="13" t="n"/>
      <c r="G35" s="13" t="n"/>
      <c r="H35" s="13" t="n"/>
    </row>
    <row r="36">
      <c r="A36" s="14" t="inlineStr">
        <is>
          <t>First month over on taxable turnover</t>
        </is>
      </c>
      <c r="B36" s="29">
        <f>IF(COUNTIF($F$21:$F$33,1)=0,"never, on these figures",IFERROR(INDEX($A$21:$A$33,MATCH(1,$F$21:$F$33,0)),""))</f>
        <v/>
      </c>
      <c r="C36" s="17" t="inlineStr">
        <is>
          <t>Notify HMRC within 30 days of the end of that month.</t>
        </is>
      </c>
    </row>
    <row r="37">
      <c r="A37" s="14" t="inlineStr">
        <is>
          <t>First month over on the payouts</t>
        </is>
      </c>
      <c r="B37" s="29">
        <f>IF(COUNTIF($G$21:$G$33,1)=0,"never, on these figures",IFERROR(INDEX($A$21:$A$33,MATCH(1,$G$21:$G$33,0)),""))</f>
        <v/>
      </c>
      <c r="C37" s="17" t="inlineStr">
        <is>
          <t>Which is the whole problem.</t>
        </is>
      </c>
    </row>
    <row r="38">
      <c r="A38" s="30" t="inlineStr">
        <is>
          <t>Turnover in the last twelve months</t>
        </is>
      </c>
      <c r="B38" s="31">
        <f>$D33</f>
        <v/>
      </c>
    </row>
    <row r="39">
      <c r="A39" s="14" t="inlineStr">
        <is>
          <t xml:space="preserve">  what the payouts would have shown</t>
        </is>
      </c>
      <c r="B39" s="15">
        <f>$E33</f>
        <v/>
      </c>
    </row>
    <row r="40">
      <c r="A40" s="14" t="inlineStr">
        <is>
          <t xml:space="preserve">  the difference</t>
        </is>
      </c>
      <c r="B40" s="15">
        <f>$H33</f>
        <v/>
      </c>
      <c r="C40" s="17" t="inlineStr">
        <is>
          <t>Fees and advertising taken before the money reached you.</t>
        </is>
      </c>
    </row>
    <row r="41">
      <c r="A41" s="14" t="inlineStr">
        <is>
          <t xml:space="preserve">  as a share of turnover</t>
        </is>
      </c>
      <c r="B41" s="18">
        <f>IFERROR($H33/$D33,"")</f>
        <v/>
      </c>
    </row>
    <row r="42">
      <c r="A42" s="14" t="inlineStr">
        <is>
          <t>Headroom left on turnover</t>
        </is>
      </c>
      <c r="B42" s="15">
        <f>$B$6-$D33</f>
        <v/>
      </c>
      <c r="C42" s="17" t="inlineStr">
        <is>
          <t>Negative means you are over and should already have registered.</t>
        </is>
      </c>
    </row>
    <row r="43">
      <c r="A43" s="14" t="inlineStr">
        <is>
          <t>VAT you would owe on the excess</t>
        </is>
      </c>
      <c r="B43" s="15">
        <f>IFERROR(MAX($D33-$B$6,0)*0.2/(1+0.2),0)</f>
        <v/>
      </c>
      <c r="C43" s="17" t="inlineStr">
        <is>
          <t>At 20% on the sales above the threshold, treating the prices you charged as VAT inclusive because you cannot go back and add it.</t>
        </is>
      </c>
    </row>
    <row r="45">
      <c r="A45" s="26" t="inlineStr">
        <is>
          <t>The forward look is a second test this sheet does not do: if you expect to pass the threshold in the next 30 days alone, you register straight away. Use the VAT Threshold Tracker for that one.</t>
        </is>
      </c>
    </row>
  </sheetData>
  <conditionalFormatting sqref="A21:H33">
    <cfRule type="expression" priority="1" dxfId="1">
      <formula>$F21=1</formula>
    </cfRule>
  </conditionalFormatting>
  <conditionalFormatting sqref="B42">
    <cfRule type="cellIs" priority="2" operator="lessThan" dxfId="0">
      <formula>0</formula>
    </cfRule>
    <cfRule type="cellIs" priority="3" operator="greaterThanOrEqual" dxfId="2">
      <formula>0</formula>
    </cfRule>
  </conditionalFormatting>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26"/>
  <sheetViews>
    <sheetView showGridLines="0" workbookViewId="0">
      <selection activeCell="A1" sqref="A1"/>
    </sheetView>
  </sheetViews>
  <sheetFormatPr baseColWidth="8" defaultRowHeight="15"/>
  <cols>
    <col width="12" customWidth="1" min="1" max="1"/>
    <col width="17" customWidth="1" min="2" max="2"/>
    <col width="17" customWidth="1" min="3" max="3"/>
    <col width="17" customWidth="1" min="4" max="4"/>
  </cols>
  <sheetData>
    <row r="1">
      <c r="A1" s="1" t="inlineStr">
        <is>
          <t>ZAZEN TAX</t>
        </is>
      </c>
    </row>
    <row r="2">
      <c r="A2" s="2" t="inlineStr">
        <is>
          <t>The two lines that matter</t>
        </is>
      </c>
    </row>
    <row r="5">
      <c r="A5" s="3" t="inlineStr">
        <is>
          <t>The upper line is what HMRC measures. The lower one is what your bank statement would tell you. The threshold sits between them.</t>
        </is>
      </c>
    </row>
    <row r="7">
      <c r="A7" s="19" t="inlineStr">
        <is>
          <t>Month</t>
        </is>
      </c>
      <c r="B7" s="19" t="inlineStr">
        <is>
          <t>Rolling, turnover</t>
        </is>
      </c>
      <c r="C7" s="19" t="inlineStr">
        <is>
          <t>Rolling, payouts</t>
        </is>
      </c>
      <c r="D7" s="19" t="inlineStr">
        <is>
          <t>Threshold</t>
        </is>
      </c>
    </row>
    <row r="8">
      <c r="A8" s="28">
        <f>'VAT watch'!$A$21</f>
        <v/>
      </c>
      <c r="B8" s="21">
        <f>'VAT watch'!$D$21</f>
        <v/>
      </c>
      <c r="C8" s="21">
        <f>'VAT watch'!$E$21</f>
        <v/>
      </c>
      <c r="D8" s="21">
        <f>'VAT watch'!$B$6</f>
        <v/>
      </c>
    </row>
    <row r="9">
      <c r="A9" s="28">
        <f>'VAT watch'!$A$22</f>
        <v/>
      </c>
      <c r="B9" s="21">
        <f>'VAT watch'!$D$22</f>
        <v/>
      </c>
      <c r="C9" s="21">
        <f>'VAT watch'!$E$22</f>
        <v/>
      </c>
      <c r="D9" s="21">
        <f>'VAT watch'!$B$6</f>
        <v/>
      </c>
    </row>
    <row r="10">
      <c r="A10" s="28">
        <f>'VAT watch'!$A$23</f>
        <v/>
      </c>
      <c r="B10" s="21">
        <f>'VAT watch'!$D$23</f>
        <v/>
      </c>
      <c r="C10" s="21">
        <f>'VAT watch'!$E$23</f>
        <v/>
      </c>
      <c r="D10" s="21">
        <f>'VAT watch'!$B$6</f>
        <v/>
      </c>
    </row>
    <row r="11">
      <c r="A11" s="28">
        <f>'VAT watch'!$A$24</f>
        <v/>
      </c>
      <c r="B11" s="21">
        <f>'VAT watch'!$D$24</f>
        <v/>
      </c>
      <c r="C11" s="21">
        <f>'VAT watch'!$E$24</f>
        <v/>
      </c>
      <c r="D11" s="21">
        <f>'VAT watch'!$B$6</f>
        <v/>
      </c>
    </row>
    <row r="12">
      <c r="A12" s="28">
        <f>'VAT watch'!$A$25</f>
        <v/>
      </c>
      <c r="B12" s="21">
        <f>'VAT watch'!$D$25</f>
        <v/>
      </c>
      <c r="C12" s="21">
        <f>'VAT watch'!$E$25</f>
        <v/>
      </c>
      <c r="D12" s="21">
        <f>'VAT watch'!$B$6</f>
        <v/>
      </c>
    </row>
    <row r="13">
      <c r="A13" s="28">
        <f>'VAT watch'!$A$26</f>
        <v/>
      </c>
      <c r="B13" s="21">
        <f>'VAT watch'!$D$26</f>
        <v/>
      </c>
      <c r="C13" s="21">
        <f>'VAT watch'!$E$26</f>
        <v/>
      </c>
      <c r="D13" s="21">
        <f>'VAT watch'!$B$6</f>
        <v/>
      </c>
    </row>
    <row r="14">
      <c r="A14" s="28">
        <f>'VAT watch'!$A$27</f>
        <v/>
      </c>
      <c r="B14" s="21">
        <f>'VAT watch'!$D$27</f>
        <v/>
      </c>
      <c r="C14" s="21">
        <f>'VAT watch'!$E$27</f>
        <v/>
      </c>
      <c r="D14" s="21">
        <f>'VAT watch'!$B$6</f>
        <v/>
      </c>
    </row>
    <row r="15">
      <c r="A15" s="28">
        <f>'VAT watch'!$A$28</f>
        <v/>
      </c>
      <c r="B15" s="21">
        <f>'VAT watch'!$D$28</f>
        <v/>
      </c>
      <c r="C15" s="21">
        <f>'VAT watch'!$E$28</f>
        <v/>
      </c>
      <c r="D15" s="21">
        <f>'VAT watch'!$B$6</f>
        <v/>
      </c>
    </row>
    <row r="16">
      <c r="A16" s="28">
        <f>'VAT watch'!$A$29</f>
        <v/>
      </c>
      <c r="B16" s="21">
        <f>'VAT watch'!$D$29</f>
        <v/>
      </c>
      <c r="C16" s="21">
        <f>'VAT watch'!$E$29</f>
        <v/>
      </c>
      <c r="D16" s="21">
        <f>'VAT watch'!$B$6</f>
        <v/>
      </c>
    </row>
    <row r="17">
      <c r="A17" s="28">
        <f>'VAT watch'!$A$30</f>
        <v/>
      </c>
      <c r="B17" s="21">
        <f>'VAT watch'!$D$30</f>
        <v/>
      </c>
      <c r="C17" s="21">
        <f>'VAT watch'!$E$30</f>
        <v/>
      </c>
      <c r="D17" s="21">
        <f>'VAT watch'!$B$6</f>
        <v/>
      </c>
    </row>
    <row r="18">
      <c r="A18" s="28">
        <f>'VAT watch'!$A$31</f>
        <v/>
      </c>
      <c r="B18" s="21">
        <f>'VAT watch'!$D$31</f>
        <v/>
      </c>
      <c r="C18" s="21">
        <f>'VAT watch'!$E$31</f>
        <v/>
      </c>
      <c r="D18" s="21">
        <f>'VAT watch'!$B$6</f>
        <v/>
      </c>
    </row>
    <row r="19">
      <c r="A19" s="28">
        <f>'VAT watch'!$A$32</f>
        <v/>
      </c>
      <c r="B19" s="21">
        <f>'VAT watch'!$D$32</f>
        <v/>
      </c>
      <c r="C19" s="21">
        <f>'VAT watch'!$E$32</f>
        <v/>
      </c>
      <c r="D19" s="21">
        <f>'VAT watch'!$B$6</f>
        <v/>
      </c>
    </row>
    <row r="20">
      <c r="A20" s="28">
        <f>'VAT watch'!$A$33</f>
        <v/>
      </c>
      <c r="B20" s="21">
        <f>'VAT watch'!$D$33</f>
        <v/>
      </c>
      <c r="C20" s="21">
        <f>'VAT watch'!$E$33</f>
        <v/>
      </c>
      <c r="D20" s="21">
        <f>'VAT watch'!$B$6</f>
        <v/>
      </c>
    </row>
    <row r="22">
      <c r="A22" s="19" t="inlineStr">
        <is>
          <t>Channel</t>
        </is>
      </c>
      <c r="B22" s="19" t="inlineStr">
        <is>
          <t>Contribution</t>
        </is>
      </c>
    </row>
    <row r="23">
      <c r="A23" s="11">
        <f>'By channel'!$A$8</f>
        <v/>
      </c>
      <c r="B23" s="21">
        <f>'By channel'!$I$8</f>
        <v/>
      </c>
    </row>
    <row r="24">
      <c r="A24" s="11">
        <f>'By channel'!$A$9</f>
        <v/>
      </c>
      <c r="B24" s="21">
        <f>'By channel'!$I$9</f>
        <v/>
      </c>
    </row>
    <row r="25">
      <c r="A25" s="11">
        <f>'By channel'!$A$10</f>
        <v/>
      </c>
      <c r="B25" s="21">
        <f>'By channel'!$I$10</f>
        <v/>
      </c>
    </row>
    <row r="26">
      <c r="A26" s="11">
        <f>'By channel'!$A$11</f>
        <v/>
      </c>
      <c r="B26" s="21">
        <f>'By channel'!$I$11</f>
        <v/>
      </c>
    </row>
  </sheetData>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2026-08-10T14:00:34Z</dcterms:created>
  <dcterms:modified xmlns:dcterms="http://purl.org/dc/terms/" xmlns:xsi="http://www.w3.org/2001/XMLSchema-instance" xsi:type="dcterms:W3CDTF">2026-08-10T14:00:34Z</dcterms:modified>
</cp:coreProperties>
</file>