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Payslip" sheetId="2" state="visible" r:id="rId2"/>
    <sheet xmlns:r="http://schemas.openxmlformats.org/officeDocument/2006/relationships" name="Salary ladder" sheetId="3" state="visible" r:id="rId3"/>
  </sheets>
  <definedNames/>
  <calcPr calcId="124519" fullCalcOnLoad="1"/>
</workbook>
</file>

<file path=xl/styles.xml><?xml version="1.0" encoding="utf-8"?>
<styleSheet xmlns="http://schemas.openxmlformats.org/spreadsheetml/2006/main">
  <numFmts count="3">
    <numFmt numFmtId="164" formatCode="£#,##0;(£#,##0);&quot;–&quot;"/>
    <numFmt numFmtId="165" formatCode="0.0%"/>
    <numFmt numFmtId="166" formatCode="£#,##0.00;(£#,##0.00);&quot;–&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0">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165" fontId="6" fillId="3" borderId="1" applyAlignment="1" pivotButton="0" quotePrefix="0" xfId="0">
      <alignment horizontal="right" vertical="center"/>
    </xf>
    <xf numFmtId="0" fontId="6" fillId="0" borderId="1" applyAlignment="1" pivotButton="0" quotePrefix="0" xfId="0">
      <alignment vertical="center"/>
    </xf>
    <xf numFmtId="0" fontId="7" fillId="0" borderId="0" applyAlignment="1" pivotButton="0" quotePrefix="0" xfId="0">
      <alignment vertical="top" wrapText="1"/>
    </xf>
    <xf numFmtId="0" fontId="6" fillId="3" borderId="1" applyAlignment="1" pivotButton="0" quotePrefix="0" xfId="0">
      <alignment horizontal="right" vertical="center"/>
    </xf>
    <xf numFmtId="166" fontId="6" fillId="4" borderId="1" applyAlignment="1" pivotButton="0" quotePrefix="0" xfId="0">
      <alignment horizontal="right" vertical="center"/>
    </xf>
    <xf numFmtId="164" fontId="6" fillId="4" borderId="1" applyAlignment="1" pivotButton="0" quotePrefix="0" xfId="0">
      <alignment horizontal="right" vertical="center"/>
    </xf>
    <xf numFmtId="0" fontId="5" fillId="0" borderId="1" applyAlignment="1" pivotButton="0" quotePrefix="0" xfId="0">
      <alignment vertical="center" wrapText="1"/>
    </xf>
    <xf numFmtId="166" fontId="5" fillId="4" borderId="1" applyAlignment="1" pivotButton="0" quotePrefix="0" xfId="0">
      <alignment horizontal="right" vertical="center"/>
    </xf>
    <xf numFmtId="165" fontId="6" fillId="4" borderId="1" applyAlignment="1" pivotButton="0" quotePrefix="0" xfId="0">
      <alignment horizontal="right" vertical="center"/>
    </xf>
    <xf numFmtId="0" fontId="8" fillId="5"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2"/>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Payslip calculator</t>
        </is>
      </c>
    </row>
    <row r="4" ht="52" customHeight="1">
      <c r="B4" s="2" t="inlineStr">
        <is>
          <t>A payslip is four subtractions in a trench coat: pension, income tax, National Insurance and, for many, a student loan. Each one has its own thresholds and its own definition of pay, which is why the number that lands in the bank surprises people. This workbook does the four subtractions in the open.</t>
        </is>
      </c>
    </row>
    <row r="6" ht="22" customHeight="1">
      <c r="B6" s="1" t="inlineStr">
        <is>
          <t>What this workbook assumes</t>
        </is>
      </c>
    </row>
    <row r="7" ht="26" customHeight="1">
      <c r="B7" s="2" t="inlineStr">
        <is>
          <t>-  2026/27 rates for England, Wales and Northern Ireland. Scotland has different income tax bands for salary; NI and student loans are UK-wide.</t>
        </is>
      </c>
    </row>
    <row r="8" ht="26" customHeight="1">
      <c r="B8" s="2" t="inlineStr">
        <is>
          <t>-  A standard 1257L tax code and annual averaging. Real PAYE runs per pay period, so individual months can differ; the year-end total is what this workbook computes.</t>
        </is>
      </c>
    </row>
    <row r="9" ht="39" customHeight="1">
      <c r="B9" s="2" t="inlineStr">
        <is>
          <t>-  A net pay pension: contributions come out before income tax but do NOT reduce National Insurance or student loan repayments. Salary sacrifice reduces all three, which is exactly why employers offer it; ask if yours does.</t>
        </is>
      </c>
    </row>
    <row r="10" ht="26" customHeight="1">
      <c r="B10" s="2" t="inlineStr">
        <is>
          <t>-  Yellow cells are yours to fill in. Grey cells work themselves out, so leave them alone unless you mean to change the method.</t>
        </is>
      </c>
    </row>
    <row r="12" ht="22" customHeight="1">
      <c r="B12" s="1" t="inlineStr">
        <is>
          <t>The trap worth knowing about</t>
        </is>
      </c>
    </row>
    <row r="13" ht="52" customHeight="1">
      <c r="B13" s="2" t="inlineStr">
        <is>
          <t>Between £100,000 and £125,140 the personal allowance tapers away at £1 for every £2, which quietly pushes the marginal rate on salary to roughly 60 per cent, before National Insurance. The Salary ladder sheet makes it visible. If a pay rise or bonus lands you in that window, pension contributions are unusually valuable.</t>
        </is>
      </c>
    </row>
    <row r="15" ht="22" customHeight="1">
      <c r="B15" s="1" t="inlineStr">
        <is>
          <t>Student loans, 2026/27 thresholds</t>
        </is>
      </c>
    </row>
    <row r="16" ht="15" customHeight="1">
      <c r="B16" s="2" t="inlineStr">
        <is>
          <t>-  Plan 1: 9% above £26,900. Pre-2012 starters in England and Wales, and Northern Irish loans.</t>
        </is>
      </c>
    </row>
    <row r="17" ht="15" customHeight="1">
      <c r="B17" s="2" t="inlineStr">
        <is>
          <t>-  Plan 2: 9% above £29,385. 2012 to 2023 starters in England and Wales.</t>
        </is>
      </c>
    </row>
    <row r="18" ht="15" customHeight="1">
      <c r="B18" s="2" t="inlineStr">
        <is>
          <t>-  Plan 4: 9% above £33,795. Scottish loans.</t>
        </is>
      </c>
    </row>
    <row r="19" ht="15" customHeight="1">
      <c r="B19" s="2" t="inlineStr">
        <is>
          <t>-  Plan 5: 9% above £25,000. Courses from August 2023.</t>
        </is>
      </c>
    </row>
    <row r="20" ht="15" customHeight="1">
      <c r="B20" s="2" t="inlineStr">
        <is>
          <t>-  Postgraduate: 6% above £21,000, and it stacks on top of any undergraduate plan.</t>
        </is>
      </c>
    </row>
    <row r="22" ht="26" customHeight="1">
      <c r="B22" s="2" t="inlineStr">
        <is>
          <t>Payslip looks wrong, or PAYE coding notice makes no sense?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F53"/>
  <sheetViews>
    <sheetView showGridLines="0" workbookViewId="0">
      <selection activeCell="A1" sqref="A1"/>
    </sheetView>
  </sheetViews>
  <sheetFormatPr baseColWidth="8" defaultRowHeight="15"/>
  <cols>
    <col width="3" customWidth="1" min="1" max="1"/>
    <col width="36" customWidth="1" min="2" max="2"/>
    <col width="15" customWidth="1" min="3" max="3"/>
    <col width="15" customWidth="1" min="4" max="4"/>
    <col width="3" customWidth="1" min="5" max="5"/>
    <col width="50" customWidth="1" min="6" max="6"/>
  </cols>
  <sheetData>
    <row r="2">
      <c r="B2" s="3" t="inlineStr">
        <is>
          <t>Payslip calculator</t>
        </is>
      </c>
    </row>
    <row r="3" ht="28" customHeight="1">
      <c r="B3" s="4" t="inlineStr">
        <is>
          <t>2026/27, England, Wales and Northern Ireland. Yellow cells are yours to fill in. Grey cells work themselves out, so leave them alone unless you mean to change the method.</t>
        </is>
      </c>
    </row>
    <row r="5">
      <c r="B5" s="5" t="inlineStr">
        <is>
          <t>Rates for 2026/27, editable</t>
        </is>
      </c>
      <c r="C5" s="6" t="n"/>
      <c r="D5" s="6" t="n"/>
      <c r="E5" s="6" t="n"/>
      <c r="F5" s="7" t="n"/>
    </row>
    <row r="6" ht="20" customHeight="1">
      <c r="B6" s="8" t="inlineStr">
        <is>
          <t>Personal allowance</t>
        </is>
      </c>
      <c r="C6" s="9" t="n">
        <v>12570</v>
      </c>
    </row>
    <row r="7" ht="20" customHeight="1">
      <c r="B7" s="8" t="inlineStr">
        <is>
          <t>Basic-rate band, width</t>
        </is>
      </c>
      <c r="C7" s="9" t="n">
        <v>37700</v>
      </c>
    </row>
    <row r="8" ht="20" customHeight="1">
      <c r="B8" s="8" t="inlineStr">
        <is>
          <t>Additional-rate threshold</t>
        </is>
      </c>
      <c r="C8" s="9" t="n">
        <v>125140</v>
      </c>
    </row>
    <row r="9" ht="20" customHeight="1">
      <c r="B9" s="8" t="inlineStr">
        <is>
          <t>Allowance taper starts at</t>
        </is>
      </c>
      <c r="C9" s="9" t="n">
        <v>100000</v>
      </c>
    </row>
    <row r="10" ht="20" customHeight="1">
      <c r="B10" s="8" t="inlineStr">
        <is>
          <t>Basic / higher / additional rates</t>
        </is>
      </c>
      <c r="C10" s="10" t="n">
        <v>0.2</v>
      </c>
    </row>
    <row r="11" ht="20" customHeight="1">
      <c r="B11" s="11" t="n"/>
      <c r="C11" s="10" t="n">
        <v>0.4</v>
      </c>
    </row>
    <row r="12" ht="20" customHeight="1">
      <c r="B12" s="11" t="n"/>
      <c r="C12" s="10" t="n">
        <v>0.45</v>
      </c>
    </row>
    <row r="13" ht="20" customHeight="1">
      <c r="B13" s="8" t="inlineStr">
        <is>
          <t>NI main rate / upper rate</t>
        </is>
      </c>
      <c r="C13" s="10" t="n">
        <v>0.08</v>
      </c>
    </row>
    <row r="14" ht="20" customHeight="1">
      <c r="B14" s="11" t="n"/>
      <c r="C14" s="10" t="n">
        <v>0.02</v>
      </c>
    </row>
    <row r="15" ht="20" customHeight="1">
      <c r="B15" s="8" t="inlineStr">
        <is>
          <t>NI threshold / upper limit</t>
        </is>
      </c>
      <c r="C15" s="9" t="n">
        <v>12570</v>
      </c>
    </row>
    <row r="16" ht="20" customHeight="1">
      <c r="B16" s="11" t="n"/>
      <c r="C16" s="9" t="n">
        <v>50270</v>
      </c>
    </row>
    <row r="18">
      <c r="B18" s="5" t="inlineStr">
        <is>
          <t>Student loan thresholds, editable</t>
        </is>
      </c>
      <c r="C18" s="6" t="n"/>
      <c r="D18" s="6" t="n"/>
      <c r="E18" s="6" t="n"/>
      <c r="F18" s="7" t="n"/>
    </row>
    <row r="19" ht="20" customHeight="1">
      <c r="B19" s="8" t="inlineStr">
        <is>
          <t>Plan 1 threshold</t>
        </is>
      </c>
      <c r="C19" s="9" t="n">
        <v>26900</v>
      </c>
    </row>
    <row r="20" ht="20" customHeight="1">
      <c r="B20" s="8" t="inlineStr">
        <is>
          <t>Plan 2 threshold</t>
        </is>
      </c>
      <c r="C20" s="9" t="n">
        <v>29385</v>
      </c>
    </row>
    <row r="21" ht="20" customHeight="1">
      <c r="B21" s="8" t="inlineStr">
        <is>
          <t>Plan 4 threshold</t>
        </is>
      </c>
      <c r="C21" s="9" t="n">
        <v>33795</v>
      </c>
    </row>
    <row r="22" ht="20" customHeight="1">
      <c r="B22" s="8" t="inlineStr">
        <is>
          <t>Plan 5 threshold</t>
        </is>
      </c>
      <c r="C22" s="9" t="n">
        <v>25000</v>
      </c>
    </row>
    <row r="23" ht="20" customHeight="1">
      <c r="B23" s="8" t="inlineStr">
        <is>
          <t>Postgraduate threshold</t>
        </is>
      </c>
      <c r="C23" s="9" t="n">
        <v>21000</v>
      </c>
    </row>
    <row r="24" ht="20" customHeight="1">
      <c r="B24" s="8" t="inlineStr">
        <is>
          <t>Undergraduate / postgraduate rates</t>
        </is>
      </c>
      <c r="C24" s="10" t="n">
        <v>0.09</v>
      </c>
      <c r="D24" s="10" t="n">
        <v>0.06</v>
      </c>
    </row>
    <row r="26">
      <c r="B26" s="5" t="inlineStr">
        <is>
          <t>You</t>
        </is>
      </c>
      <c r="C26" s="6" t="n"/>
      <c r="D26" s="6" t="n"/>
      <c r="E26" s="6" t="n"/>
      <c r="F26" s="7" t="n"/>
    </row>
    <row r="27" ht="24" customHeight="1">
      <c r="B27" s="8" t="inlineStr">
        <is>
          <t>Annual gross salary</t>
        </is>
      </c>
      <c r="C27" s="9" t="n">
        <v>45000</v>
      </c>
    </row>
    <row r="28" ht="30" customHeight="1">
      <c r="B28" s="8" t="inlineStr">
        <is>
          <t>Pension contribution</t>
        </is>
      </c>
      <c r="C28" s="10" t="n">
        <v>0.05</v>
      </c>
      <c r="F28" s="12" t="inlineStr">
        <is>
          <t>Your own contribution, net pay arrangement: it reduces income tax but not NI or student loan.</t>
        </is>
      </c>
    </row>
    <row r="29" ht="30" customHeight="1">
      <c r="B29" s="8" t="inlineStr">
        <is>
          <t>Student loan plan</t>
        </is>
      </c>
      <c r="C29" s="13" t="inlineStr">
        <is>
          <t>None</t>
        </is>
      </c>
      <c r="F29" s="12" t="inlineStr">
        <is>
          <t>Postgraduate loans repay at 6%; every other plan at 9%. If you have both, this workbook handles one at a time.</t>
        </is>
      </c>
    </row>
    <row r="31">
      <c r="B31" s="5" t="inlineStr">
        <is>
          <t>The computation, annual</t>
        </is>
      </c>
      <c r="C31" s="6" t="n"/>
      <c r="D31" s="6" t="n"/>
      <c r="E31" s="6" t="n"/>
      <c r="F31" s="7" t="n"/>
    </row>
    <row r="32" ht="24" customHeight="1">
      <c r="B32" s="8" t="inlineStr">
        <is>
          <t>Pension contribution</t>
        </is>
      </c>
      <c r="C32" s="14">
        <f>C27*C28</f>
        <v/>
      </c>
    </row>
    <row r="33" ht="30" customHeight="1">
      <c r="B33" s="8" t="inlineStr">
        <is>
          <t>Income after pension</t>
        </is>
      </c>
      <c r="C33" s="15">
        <f>C27-C32</f>
        <v/>
      </c>
      <c r="F33" s="12" t="inlineStr">
        <is>
          <t>What income tax actually sees. Also the adjusted net income the taper works on.</t>
        </is>
      </c>
    </row>
    <row r="34" ht="24" customHeight="1">
      <c r="B34" s="8" t="inlineStr">
        <is>
          <t>Personal allowance after taper</t>
        </is>
      </c>
      <c r="C34" s="15">
        <f>MAX(0,C6-MAX(0,(C33-C9)/2))</f>
        <v/>
      </c>
      <c r="F34" s="12" t="inlineStr">
        <is>
          <t>£1 lost per £2 above £100,000.</t>
        </is>
      </c>
    </row>
    <row r="35" ht="24" customHeight="1">
      <c r="B35" s="8" t="inlineStr">
        <is>
          <t>Taxable pay</t>
        </is>
      </c>
      <c r="C35" s="15">
        <f>MAX(0,C33-C34)</f>
        <v/>
      </c>
    </row>
    <row r="36" ht="24" customHeight="1">
      <c r="B36" s="8" t="inlineStr">
        <is>
          <t>At 20%</t>
        </is>
      </c>
      <c r="C36" s="15">
        <f>MIN(C35,C7)</f>
        <v/>
      </c>
    </row>
    <row r="37" ht="24" customHeight="1">
      <c r="B37" s="8" t="inlineStr">
        <is>
          <t>At 40%</t>
        </is>
      </c>
      <c r="C37" s="15">
        <f>MAX(0,MIN(C35,C8)-C7)</f>
        <v/>
      </c>
    </row>
    <row r="38" ht="24" customHeight="1">
      <c r="B38" s="8" t="inlineStr">
        <is>
          <t>At 45%</t>
        </is>
      </c>
      <c r="C38" s="15">
        <f>MAX(0,C35-C8)</f>
        <v/>
      </c>
    </row>
    <row r="39" ht="24" customHeight="1">
      <c r="B39" s="16" t="inlineStr">
        <is>
          <t>Income tax</t>
        </is>
      </c>
      <c r="C39" s="17">
        <f>C36*C10+C37*C11+C38*C12</f>
        <v/>
      </c>
    </row>
    <row r="40" ht="30" customHeight="1">
      <c r="B40" s="16" t="inlineStr">
        <is>
          <t>National Insurance</t>
        </is>
      </c>
      <c r="C40" s="17">
        <f>C13*MAX(0,MIN(C27,C16)-C15)+C14*MAX(0,C27-C16)</f>
        <v/>
      </c>
      <c r="F40" s="12" t="inlineStr">
        <is>
          <t>8% between £12,570 and £50,270, then 2%. Charged on gross pay, unmoved by a net-pay pension.</t>
        </is>
      </c>
    </row>
    <row r="41" ht="24" customHeight="1">
      <c r="B41" s="8" t="inlineStr">
        <is>
          <t>Student loan threshold</t>
        </is>
      </c>
      <c r="C41" s="15">
        <f>IF(C29="Plan 1",C19,IF(C29="Plan 2",C20,IF(C29="Plan 4",C21,IF(C29="Plan 5",C22,IF(C29="Postgraduate",C23,0)))))</f>
        <v/>
      </c>
    </row>
    <row r="42" ht="30" customHeight="1">
      <c r="B42" s="16" t="inlineStr">
        <is>
          <t>Student loan</t>
        </is>
      </c>
      <c r="C42" s="17">
        <f>IF(C29="None",0,MAX(0,C27-C41)*IF(C29="Postgraduate",D24,C24))</f>
        <v/>
      </c>
      <c r="F42" s="12" t="inlineStr">
        <is>
          <t>9% (6% postgraduate) of gross pay above the threshold. Also unmoved by a net-pay pension.</t>
        </is>
      </c>
    </row>
    <row r="43" ht="24" customHeight="1">
      <c r="B43" s="16" t="inlineStr">
        <is>
          <t>Take-home pay</t>
        </is>
      </c>
      <c r="C43" s="17">
        <f>C27-C32-C39-C40-C42</f>
        <v/>
      </c>
    </row>
    <row r="44" ht="24" customHeight="1">
      <c r="B44" s="16" t="inlineStr">
        <is>
          <t>Take-home, monthly</t>
        </is>
      </c>
      <c r="C44" s="17">
        <f>C43/12</f>
        <v/>
      </c>
    </row>
    <row r="45" ht="24" customHeight="1">
      <c r="B45" s="8" t="inlineStr">
        <is>
          <t>Share of gross you keep</t>
        </is>
      </c>
      <c r="C45" s="18">
        <f>IFERROR(C43/C27,"")</f>
        <v/>
      </c>
    </row>
    <row r="47">
      <c r="B47" s="5" t="inlineStr">
        <is>
          <t>The payslip, monthly</t>
        </is>
      </c>
      <c r="C47" s="6" t="n"/>
      <c r="D47" s="6" t="n"/>
      <c r="E47" s="6" t="n"/>
      <c r="F47" s="7" t="n"/>
    </row>
    <row r="48" ht="20" customHeight="1">
      <c r="B48" s="8" t="inlineStr">
        <is>
          <t>Gross pay</t>
        </is>
      </c>
      <c r="C48" s="14">
        <f>C27/12</f>
        <v/>
      </c>
    </row>
    <row r="49" ht="20" customHeight="1">
      <c r="B49" s="8" t="inlineStr">
        <is>
          <t>Pension</t>
        </is>
      </c>
      <c r="C49" s="14">
        <f>C32/12</f>
        <v/>
      </c>
    </row>
    <row r="50" ht="20" customHeight="1">
      <c r="B50" s="8" t="inlineStr">
        <is>
          <t>Income tax</t>
        </is>
      </c>
      <c r="C50" s="14">
        <f>C39/12</f>
        <v/>
      </c>
    </row>
    <row r="51" ht="20" customHeight="1">
      <c r="B51" s="8" t="inlineStr">
        <is>
          <t>National Insurance</t>
        </is>
      </c>
      <c r="C51" s="14">
        <f>C40/12</f>
        <v/>
      </c>
    </row>
    <row r="52" ht="20" customHeight="1">
      <c r="B52" s="8" t="inlineStr">
        <is>
          <t>Student loan</t>
        </is>
      </c>
      <c r="C52" s="14">
        <f>C42/12</f>
        <v/>
      </c>
    </row>
    <row r="53" ht="20" customHeight="1">
      <c r="B53" s="16" t="inlineStr">
        <is>
          <t>Take-home</t>
        </is>
      </c>
      <c r="C53" s="17">
        <f>C43/12</f>
        <v/>
      </c>
    </row>
  </sheetData>
  <mergeCells count="6">
    <mergeCell ref="B47:F47"/>
    <mergeCell ref="B3:F3"/>
    <mergeCell ref="B5:F5"/>
    <mergeCell ref="B31:F31"/>
    <mergeCell ref="B26:F26"/>
    <mergeCell ref="B18:F18"/>
  </mergeCells>
  <dataValidations count="1">
    <dataValidation sqref="C29" showDropDown="0" showInputMessage="0" showErrorMessage="1" allowBlank="1" errorTitle="Not on the list" error="Choose None, Plan 1, Plan 2, Plan 4, Plan 5 or Postgraduate" type="list">
      <formula1>"None,Plan 1,Plan 2,Plan 4,Plan 5,Postgraduate"</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G15"/>
  <sheetViews>
    <sheetView showGridLines="0" workbookViewId="0">
      <selection activeCell="A1" sqref="A1"/>
    </sheetView>
  </sheetViews>
  <sheetFormatPr baseColWidth="8" defaultRowHeight="15"/>
  <cols>
    <col width="3" customWidth="1" min="1" max="1"/>
    <col width="14" customWidth="1" min="2" max="2"/>
    <col width="14" customWidth="1" min="3" max="3"/>
    <col width="14" customWidth="1" min="4" max="4"/>
    <col width="14" customWidth="1" min="5" max="5"/>
    <col width="14" customWidth="1" min="6" max="6"/>
    <col width="13" customWidth="1" min="7" max="7"/>
  </cols>
  <sheetData>
    <row r="2">
      <c r="B2" s="3" t="inlineStr">
        <is>
          <t>Salary ladder</t>
        </is>
      </c>
    </row>
    <row r="3" ht="40" customHeight="1">
      <c r="B3" s="4" t="inlineStr">
        <is>
          <t>Take-home at eight salary levels, with your pension rate and student loan plan from the Payslip sheet. Watch the effective-rate column between £100,000 and £125,140: that is the personal allowance taper at work.</t>
        </is>
      </c>
    </row>
    <row r="5" ht="30" customHeight="1">
      <c r="B5" s="19" t="inlineStr">
        <is>
          <t>Gross salary</t>
        </is>
      </c>
      <c r="C5" s="19" t="inlineStr">
        <is>
          <t>Income tax</t>
        </is>
      </c>
      <c r="D5" s="19" t="inlineStr">
        <is>
          <t>NI</t>
        </is>
      </c>
      <c r="E5" s="19" t="inlineStr">
        <is>
          <t>Student loan</t>
        </is>
      </c>
      <c r="F5" s="19" t="inlineStr">
        <is>
          <t>Take-home</t>
        </is>
      </c>
      <c r="G5" s="19" t="inlineStr">
        <is>
          <t>You keep</t>
        </is>
      </c>
    </row>
    <row r="6">
      <c r="B6" s="9" t="n">
        <v>25000</v>
      </c>
      <c r="C6" s="15">
        <f>MIN(MAX(0,(B6*(1-Payslip!$C$28))-MAX(0,Payslip!$C$6-MAX(0,((B6*(1-Payslip!$C$28))-Payslip!$C$9)/2))),Payslip!$C$7)*Payslip!$C$10+MAX(0,MIN(MAX(0,(B6*(1-Payslip!$C$28))-MAX(0,Payslip!$C$6-MAX(0,((B6*(1-Payslip!$C$28))-Payslip!$C$9)/2))),Payslip!$C$8)-Payslip!$C$7)*Payslip!$C$11+MAX(0,MAX(0,(B6*(1-Payslip!$C$28))-MAX(0,Payslip!$C$6-MAX(0,((B6*(1-Payslip!$C$28))-Payslip!$C$9)/2)))-Payslip!$C$8)*Payslip!$C$12</f>
        <v/>
      </c>
      <c r="D6" s="15">
        <f>Payslip!$C$13*MAX(0,MIN(B6,Payslip!$C$16)-Payslip!$C$15)+Payslip!$C$14*MAX(0,B6-Payslip!$C$16)</f>
        <v/>
      </c>
      <c r="E6" s="15">
        <f>IF(Payslip!$C$29="None",0,MAX(0,B6-Payslip!$C$41)*IF(Payslip!$C$29="Postgraduate",Payslip!$D$24,Payslip!$C$24))</f>
        <v/>
      </c>
      <c r="F6" s="15">
        <f>B6*(1-Payslip!$C$28)-C6-D6-E6</f>
        <v/>
      </c>
      <c r="G6" s="18">
        <f>IFERROR(F6/B6,"")</f>
        <v/>
      </c>
    </row>
    <row r="7">
      <c r="B7" s="9" t="n">
        <v>35000</v>
      </c>
      <c r="C7" s="15">
        <f>MIN(MAX(0,(B7*(1-Payslip!$C$28))-MAX(0,Payslip!$C$6-MAX(0,((B7*(1-Payslip!$C$28))-Payslip!$C$9)/2))),Payslip!$C$7)*Payslip!$C$10+MAX(0,MIN(MAX(0,(B7*(1-Payslip!$C$28))-MAX(0,Payslip!$C$6-MAX(0,((B7*(1-Payslip!$C$28))-Payslip!$C$9)/2))),Payslip!$C$8)-Payslip!$C$7)*Payslip!$C$11+MAX(0,MAX(0,(B7*(1-Payslip!$C$28))-MAX(0,Payslip!$C$6-MAX(0,((B7*(1-Payslip!$C$28))-Payslip!$C$9)/2)))-Payslip!$C$8)*Payslip!$C$12</f>
        <v/>
      </c>
      <c r="D7" s="15">
        <f>Payslip!$C$13*MAX(0,MIN(B7,Payslip!$C$16)-Payslip!$C$15)+Payslip!$C$14*MAX(0,B7-Payslip!$C$16)</f>
        <v/>
      </c>
      <c r="E7" s="15">
        <f>IF(Payslip!$C$29="None",0,MAX(0,B7-Payslip!$C$41)*IF(Payslip!$C$29="Postgraduate",Payslip!$D$24,Payslip!$C$24))</f>
        <v/>
      </c>
      <c r="F7" s="15">
        <f>B7*(1-Payslip!$C$28)-C7-D7-E7</f>
        <v/>
      </c>
      <c r="G7" s="18">
        <f>IFERROR(F7/B7,"")</f>
        <v/>
      </c>
    </row>
    <row r="8">
      <c r="B8" s="9" t="n">
        <v>45000</v>
      </c>
      <c r="C8" s="15">
        <f>MIN(MAX(0,(B8*(1-Payslip!$C$28))-MAX(0,Payslip!$C$6-MAX(0,((B8*(1-Payslip!$C$28))-Payslip!$C$9)/2))),Payslip!$C$7)*Payslip!$C$10+MAX(0,MIN(MAX(0,(B8*(1-Payslip!$C$28))-MAX(0,Payslip!$C$6-MAX(0,((B8*(1-Payslip!$C$28))-Payslip!$C$9)/2))),Payslip!$C$8)-Payslip!$C$7)*Payslip!$C$11+MAX(0,MAX(0,(B8*(1-Payslip!$C$28))-MAX(0,Payslip!$C$6-MAX(0,((B8*(1-Payslip!$C$28))-Payslip!$C$9)/2)))-Payslip!$C$8)*Payslip!$C$12</f>
        <v/>
      </c>
      <c r="D8" s="15">
        <f>Payslip!$C$13*MAX(0,MIN(B8,Payslip!$C$16)-Payslip!$C$15)+Payslip!$C$14*MAX(0,B8-Payslip!$C$16)</f>
        <v/>
      </c>
      <c r="E8" s="15">
        <f>IF(Payslip!$C$29="None",0,MAX(0,B8-Payslip!$C$41)*IF(Payslip!$C$29="Postgraduate",Payslip!$D$24,Payslip!$C$24))</f>
        <v/>
      </c>
      <c r="F8" s="15">
        <f>B8*(1-Payslip!$C$28)-C8-D8-E8</f>
        <v/>
      </c>
      <c r="G8" s="18">
        <f>IFERROR(F8/B8,"")</f>
        <v/>
      </c>
    </row>
    <row r="9">
      <c r="B9" s="9" t="n">
        <v>60000</v>
      </c>
      <c r="C9" s="15">
        <f>MIN(MAX(0,(B9*(1-Payslip!$C$28))-MAX(0,Payslip!$C$6-MAX(0,((B9*(1-Payslip!$C$28))-Payslip!$C$9)/2))),Payslip!$C$7)*Payslip!$C$10+MAX(0,MIN(MAX(0,(B9*(1-Payslip!$C$28))-MAX(0,Payslip!$C$6-MAX(0,((B9*(1-Payslip!$C$28))-Payslip!$C$9)/2))),Payslip!$C$8)-Payslip!$C$7)*Payslip!$C$11+MAX(0,MAX(0,(B9*(1-Payslip!$C$28))-MAX(0,Payslip!$C$6-MAX(0,((B9*(1-Payslip!$C$28))-Payslip!$C$9)/2)))-Payslip!$C$8)*Payslip!$C$12</f>
        <v/>
      </c>
      <c r="D9" s="15">
        <f>Payslip!$C$13*MAX(0,MIN(B9,Payslip!$C$16)-Payslip!$C$15)+Payslip!$C$14*MAX(0,B9-Payslip!$C$16)</f>
        <v/>
      </c>
      <c r="E9" s="15">
        <f>IF(Payslip!$C$29="None",0,MAX(0,B9-Payslip!$C$41)*IF(Payslip!$C$29="Postgraduate",Payslip!$D$24,Payslip!$C$24))</f>
        <v/>
      </c>
      <c r="F9" s="15">
        <f>B9*(1-Payslip!$C$28)-C9-D9-E9</f>
        <v/>
      </c>
      <c r="G9" s="18">
        <f>IFERROR(F9/B9,"")</f>
        <v/>
      </c>
    </row>
    <row r="10">
      <c r="B10" s="9" t="n">
        <v>80000</v>
      </c>
      <c r="C10" s="15">
        <f>MIN(MAX(0,(B10*(1-Payslip!$C$28))-MAX(0,Payslip!$C$6-MAX(0,((B10*(1-Payslip!$C$28))-Payslip!$C$9)/2))),Payslip!$C$7)*Payslip!$C$10+MAX(0,MIN(MAX(0,(B10*(1-Payslip!$C$28))-MAX(0,Payslip!$C$6-MAX(0,((B10*(1-Payslip!$C$28))-Payslip!$C$9)/2))),Payslip!$C$8)-Payslip!$C$7)*Payslip!$C$11+MAX(0,MAX(0,(B10*(1-Payslip!$C$28))-MAX(0,Payslip!$C$6-MAX(0,((B10*(1-Payslip!$C$28))-Payslip!$C$9)/2)))-Payslip!$C$8)*Payslip!$C$12</f>
        <v/>
      </c>
      <c r="D10" s="15">
        <f>Payslip!$C$13*MAX(0,MIN(B10,Payslip!$C$16)-Payslip!$C$15)+Payslip!$C$14*MAX(0,B10-Payslip!$C$16)</f>
        <v/>
      </c>
      <c r="E10" s="15">
        <f>IF(Payslip!$C$29="None",0,MAX(0,B10-Payslip!$C$41)*IF(Payslip!$C$29="Postgraduate",Payslip!$D$24,Payslip!$C$24))</f>
        <v/>
      </c>
      <c r="F10" s="15">
        <f>B10*(1-Payslip!$C$28)-C10-D10-E10</f>
        <v/>
      </c>
      <c r="G10" s="18">
        <f>IFERROR(F10/B10,"")</f>
        <v/>
      </c>
    </row>
    <row r="11">
      <c r="B11" s="9" t="n">
        <v>100000</v>
      </c>
      <c r="C11" s="15">
        <f>MIN(MAX(0,(B11*(1-Payslip!$C$28))-MAX(0,Payslip!$C$6-MAX(0,((B11*(1-Payslip!$C$28))-Payslip!$C$9)/2))),Payslip!$C$7)*Payslip!$C$10+MAX(0,MIN(MAX(0,(B11*(1-Payslip!$C$28))-MAX(0,Payslip!$C$6-MAX(0,((B11*(1-Payslip!$C$28))-Payslip!$C$9)/2))),Payslip!$C$8)-Payslip!$C$7)*Payslip!$C$11+MAX(0,MAX(0,(B11*(1-Payslip!$C$28))-MAX(0,Payslip!$C$6-MAX(0,((B11*(1-Payslip!$C$28))-Payslip!$C$9)/2)))-Payslip!$C$8)*Payslip!$C$12</f>
        <v/>
      </c>
      <c r="D11" s="15">
        <f>Payslip!$C$13*MAX(0,MIN(B11,Payslip!$C$16)-Payslip!$C$15)+Payslip!$C$14*MAX(0,B11-Payslip!$C$16)</f>
        <v/>
      </c>
      <c r="E11" s="15">
        <f>IF(Payslip!$C$29="None",0,MAX(0,B11-Payslip!$C$41)*IF(Payslip!$C$29="Postgraduate",Payslip!$D$24,Payslip!$C$24))</f>
        <v/>
      </c>
      <c r="F11" s="15">
        <f>B11*(1-Payslip!$C$28)-C11-D11-E11</f>
        <v/>
      </c>
      <c r="G11" s="18">
        <f>IFERROR(F11/B11,"")</f>
        <v/>
      </c>
    </row>
    <row r="12">
      <c r="B12" s="9" t="n">
        <v>125000</v>
      </c>
      <c r="C12" s="15">
        <f>MIN(MAX(0,(B12*(1-Payslip!$C$28))-MAX(0,Payslip!$C$6-MAX(0,((B12*(1-Payslip!$C$28))-Payslip!$C$9)/2))),Payslip!$C$7)*Payslip!$C$10+MAX(0,MIN(MAX(0,(B12*(1-Payslip!$C$28))-MAX(0,Payslip!$C$6-MAX(0,((B12*(1-Payslip!$C$28))-Payslip!$C$9)/2))),Payslip!$C$8)-Payslip!$C$7)*Payslip!$C$11+MAX(0,MAX(0,(B12*(1-Payslip!$C$28))-MAX(0,Payslip!$C$6-MAX(0,((B12*(1-Payslip!$C$28))-Payslip!$C$9)/2)))-Payslip!$C$8)*Payslip!$C$12</f>
        <v/>
      </c>
      <c r="D12" s="15">
        <f>Payslip!$C$13*MAX(0,MIN(B12,Payslip!$C$16)-Payslip!$C$15)+Payslip!$C$14*MAX(0,B12-Payslip!$C$16)</f>
        <v/>
      </c>
      <c r="E12" s="15">
        <f>IF(Payslip!$C$29="None",0,MAX(0,B12-Payslip!$C$41)*IF(Payslip!$C$29="Postgraduate",Payslip!$D$24,Payslip!$C$24))</f>
        <v/>
      </c>
      <c r="F12" s="15">
        <f>B12*(1-Payslip!$C$28)-C12-D12-E12</f>
        <v/>
      </c>
      <c r="G12" s="18">
        <f>IFERROR(F12/B12,"")</f>
        <v/>
      </c>
    </row>
    <row r="13">
      <c r="B13" s="9" t="n">
        <v>150000</v>
      </c>
      <c r="C13" s="15">
        <f>MIN(MAX(0,(B13*(1-Payslip!$C$28))-MAX(0,Payslip!$C$6-MAX(0,((B13*(1-Payslip!$C$28))-Payslip!$C$9)/2))),Payslip!$C$7)*Payslip!$C$10+MAX(0,MIN(MAX(0,(B13*(1-Payslip!$C$28))-MAX(0,Payslip!$C$6-MAX(0,((B13*(1-Payslip!$C$28))-Payslip!$C$9)/2))),Payslip!$C$8)-Payslip!$C$7)*Payslip!$C$11+MAX(0,MAX(0,(B13*(1-Payslip!$C$28))-MAX(0,Payslip!$C$6-MAX(0,((B13*(1-Payslip!$C$28))-Payslip!$C$9)/2)))-Payslip!$C$8)*Payslip!$C$12</f>
        <v/>
      </c>
      <c r="D13" s="15">
        <f>Payslip!$C$13*MAX(0,MIN(B13,Payslip!$C$16)-Payslip!$C$15)+Payslip!$C$14*MAX(0,B13-Payslip!$C$16)</f>
        <v/>
      </c>
      <c r="E13" s="15">
        <f>IF(Payslip!$C$29="None",0,MAX(0,B13-Payslip!$C$41)*IF(Payslip!$C$29="Postgraduate",Payslip!$D$24,Payslip!$C$24))</f>
        <v/>
      </c>
      <c r="F13" s="15">
        <f>B13*(1-Payslip!$C$28)-C13-D13-E13</f>
        <v/>
      </c>
      <c r="G13" s="18">
        <f>IFERROR(F13/B13,"")</f>
        <v/>
      </c>
    </row>
    <row r="15" ht="40" customHeight="1">
      <c r="B15" s="12" t="inlineStr">
        <is>
          <t>The eight salaries are examples; overtype them with your own. Tax, NI and student loan pull every rate from the Payslip sheet. Take-home is after your pension contribution too, which is money kept, just kept elsewhere.</t>
        </is>
      </c>
    </row>
  </sheetData>
  <mergeCells count="2">
    <mergeCell ref="B3:G3"/>
    <mergeCell ref="B15:G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Payslip Calculator</dc:title>
  <dc:subject xmlns:dc="http://purl.org/dc/elements/1.1/">2026/27 take-home pay: income tax, NI, pension and student loan, with a salary ladder</dc:subject>
  <dcterms:created xmlns:dcterms="http://purl.org/dc/terms/" xmlns:xsi="http://www.w3.org/2001/XMLSchema-instance" xsi:type="dcterms:W3CDTF">2026-08-07T15:27:56Z</dcterms:created>
  <dcterms:modified xmlns:dcterms="http://purl.org/dc/terms/" xmlns:xsi="http://www.w3.org/2001/XMLSchema-instance" xsi:type="dcterms:W3CDTF">2026-08-07T15:27:56Z</dcterms:modified>
</cp:coreProperties>
</file>