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One order" sheetId="2" state="visible" r:id="rId2"/>
    <sheet xmlns:r="http://schemas.openxmlformats.org/officeDocument/2006/relationships" name="Your range" sheetId="3" state="visible" r:id="rId3"/>
  </sheets>
  <definedNames/>
  <calcPr calcId="124519" fullCalcOnLoad="1"/>
</workbook>
</file>

<file path=xl/styles.xml><?xml version="1.0" encoding="utf-8"?>
<styleSheet xmlns="http://schemas.openxmlformats.org/spreadsheetml/2006/main">
  <numFmts count="3">
    <numFmt numFmtId="164" formatCode="£#,##0.00"/>
    <numFmt numFmtId="165" formatCode="0.0%"/>
    <numFmt numFmtId="166"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3" fontId="8" fillId="3" borderId="1" pivotButton="0" quotePrefix="0" xfId="0"/>
    <xf numFmtId="165" fontId="8" fillId="3" borderId="1" pivotButton="0" quotePrefix="0" xfId="0"/>
    <xf numFmtId="0" fontId="8" fillId="0" borderId="1" pivotButton="0" quotePrefix="0" xfId="0"/>
    <xf numFmtId="0" fontId="8" fillId="4" borderId="1" pivotButton="0" quotePrefix="0" xfId="0"/>
    <xf numFmtId="164" fontId="7" fillId="4" borderId="1" pivotButton="0" quotePrefix="0" xfId="0"/>
    <xf numFmtId="165" fontId="7" fillId="4" borderId="1" pivotButton="0" quotePrefix="0" xfId="0"/>
    <xf numFmtId="164" fontId="8" fillId="4" borderId="1" pivotButton="0" quotePrefix="0" xfId="0"/>
    <xf numFmtId="0" fontId="8" fillId="0" borderId="0" pivotButton="0" quotePrefix="0" xfId="0"/>
    <xf numFmtId="164" fontId="9" fillId="4" borderId="1" pivotButton="0" quotePrefix="0" xfId="0"/>
    <xf numFmtId="165" fontId="8" fillId="4" borderId="1" pivotButton="0" quotePrefix="0" xfId="0"/>
    <xf numFmtId="166" fontId="8" fillId="4" borderId="1" pivotButton="0" quotePrefix="0" xfId="0"/>
    <xf numFmtId="0" fontId="10" fillId="0" borderId="0" pivotButton="0" quotePrefix="0" xfId="0"/>
    <xf numFmtId="0" fontId="6" fillId="2" borderId="0" applyAlignment="1" pivotButton="0" quotePrefix="0" xfId="0">
      <alignment vertical="center" wrapText="1"/>
    </xf>
    <xf numFmtId="0" fontId="7" fillId="3" borderId="1" pivotButton="0" quotePrefix="0" xfId="0"/>
    <xf numFmtId="164" fontId="7" fillId="3" borderId="1" pivotButton="0" quotePrefix="0" xfId="0"/>
    <xf numFmtId="3" fontId="7" fillId="3" borderId="1" pivotButton="0" quotePrefix="0" xfId="0"/>
    <xf numFmtId="0" fontId="7" fillId="4" borderId="1" pivotButton="0" quotePrefix="0" xfId="0"/>
    <xf numFmtId="3" fontId="8" fillId="4" borderId="1" pivotButton="0" quotePrefix="0" xfId="0"/>
  </cellXfs>
  <cellStyles count="1">
    <cellStyle name="Normal" xfId="0" builtinId="0" hidden="0"/>
  </cellStyles>
  <dxfs count="3">
    <dxf>
      <fill>
        <patternFill patternType="solid">
          <fgColor rgb="00FAF0E2"/>
        </patternFill>
      </fill>
    </dxf>
    <dxf>
      <fill>
        <patternFill patternType="solid">
          <fgColor rgb="00E6F2EC"/>
        </patternFill>
      </fill>
    </dxf>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0"/>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Where to Sell Calculator</t>
        </is>
      </c>
    </row>
    <row r="3">
      <c r="A3" s="3" t="inlineStr">
        <is>
          <t>The same order on four channels, and the most you can spend winning a customer before the cheapest stops being cheapest.</t>
        </is>
      </c>
    </row>
    <row r="5">
      <c r="B5" s="4" t="inlineStr">
        <is>
          <t>The spread is wider than sellers expect</t>
        </is>
      </c>
    </row>
    <row r="6" ht="45" customHeight="1">
      <c r="B6" s="5" t="inlineStr">
        <is>
          <t>On the worked example the same £31.95 order costs 86p in fees on your own site and £7.39 on Amazon FBA. That is a gap of more than twenty points of the order value, on an identical product at an identical price.</t>
        </is>
      </c>
    </row>
    <row r="8" ht="30" customHeight="1">
      <c r="B8" s="5" t="inlineStr">
        <is>
          <t>Every fee calculator in this library answers what one channel costs. This one answers which channel to be on, which is a different question and a more useful one.</t>
        </is>
      </c>
    </row>
    <row r="10">
      <c r="B10" s="4" t="inlineStr">
        <is>
          <t>The answer is not simply the cheapest</t>
        </is>
      </c>
    </row>
    <row r="11" ht="30" customHeight="1">
      <c r="B11" s="5" t="inlineStr">
        <is>
          <t>A marketplace fee is rent on somebody else's audience. Your own site charges you almost nothing and brings you nobody, so the fee saving has to pay for finding every customer yourself.</t>
        </is>
      </c>
    </row>
    <row r="13" ht="45" customHeight="1">
      <c r="B13" s="5" t="inlineStr">
        <is>
          <t>So the number this workbook produces is the most you can spend acquiring a customer before the marketplace was the better deal. Spend less than that and your own site wins. Spend more and it does not, however low the fee looked.</t>
        </is>
      </c>
    </row>
    <row r="15">
      <c r="B15" s="4" t="inlineStr">
        <is>
          <t>Your own site has a cost the marketplaces do not</t>
        </is>
      </c>
    </row>
    <row r="16" ht="45" customHeight="1">
      <c r="B16" s="5" t="inlineStr">
        <is>
          <t>A monthly subscription. That makes its real rate depend on volume, and on a small shop the subscription can be more than the fees it saves. The sheet works out the order count at which it starts paying for itself.</t>
        </is>
      </c>
    </row>
    <row r="18">
      <c r="B18" s="4" t="inlineStr">
        <is>
          <t>How VAT on the fees works, which is two things</t>
        </is>
      </c>
    </row>
    <row r="19" ht="30" customHeight="1">
      <c r="B19" s="5" t="inlineStr">
        <is>
          <t>Amazon and eBay charge VAT on their fees and a registered seller reclaims it. Etsy bills UK sellers from Ireland, so the reverse charge applies and it never charges the VAT at all.</t>
        </is>
      </c>
    </row>
    <row r="21" ht="45" customHeight="1">
      <c r="B21" s="5" t="inlineStr">
        <is>
          <t>Different mechanisms, same destination: the fees cost face value when you are registered and a fifth more when you are not. All four channels are treated the same way here for that reason, and setting the VAT rate to nil raises every fee by twenty per cent at once.</t>
        </is>
      </c>
    </row>
    <row r="23">
      <c r="B23" s="4" t="inlineStr">
        <is>
          <t>What it cannot see</t>
        </is>
      </c>
    </row>
    <row r="24" ht="45" customHeight="1">
      <c r="B24" s="5" t="inlineStr">
        <is>
          <t>Traffic, which is the whole difference. Also that you can price differently on different channels, which is a perfectly sensible strategy and makes a fee comparison meaningless, so this holds the price still and moves only the channel.</t>
        </is>
      </c>
    </row>
    <row r="26">
      <c r="B26" s="4" t="inlineStr">
        <is>
          <t>About the rates</t>
        </is>
      </c>
    </row>
    <row r="27" ht="30" customHeight="1">
      <c r="B27" s="5" t="inlineStr">
        <is>
          <t>Every rate is a yellow cell because all four platforms change them. The defaults were researched in August 2026. Take yours off a recent invoice.</t>
        </is>
      </c>
    </row>
    <row r="29">
      <c r="B29" s="4" t="inlineStr">
        <is>
          <t>General information</t>
        </is>
      </c>
    </row>
    <row r="30" ht="30" customHeight="1">
      <c r="B30"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55"/>
  <sheetViews>
    <sheetView showGridLines="0" workbookViewId="0">
      <selection activeCell="A1" sqref="A1"/>
    </sheetView>
  </sheetViews>
  <sheetFormatPr baseColWidth="8" defaultRowHeight="15"/>
  <cols>
    <col width="40" customWidth="1" min="1" max="1"/>
    <col width="14" customWidth="1" min="2" max="2"/>
    <col width="58" customWidth="1" min="3" max="3"/>
    <col width="14" customWidth="1" min="4" max="4"/>
  </cols>
  <sheetData>
    <row r="1">
      <c r="A1" s="1" t="inlineStr">
        <is>
          <t>ZAZEN TAX</t>
        </is>
      </c>
    </row>
    <row r="2">
      <c r="A2" s="2" t="inlineStr">
        <is>
          <t>One order, on four channels</t>
        </is>
      </c>
    </row>
    <row r="5" ht="19" customHeight="1">
      <c r="A5" s="6" t="inlineStr">
        <is>
          <t xml:space="preserve">  The order</t>
        </is>
      </c>
      <c r="B5" s="7" t="n"/>
      <c r="C5" s="7" t="n"/>
    </row>
    <row r="6">
      <c r="A6" s="8" t="inlineStr">
        <is>
          <t>Item price</t>
        </is>
      </c>
      <c r="B6" s="9" t="n">
        <v>28</v>
      </c>
      <c r="C6" s="10" t="inlineStr">
        <is>
          <t>The same price everywhere, so it is like for like.</t>
        </is>
      </c>
    </row>
    <row r="7">
      <c r="A7" s="8" t="inlineStr">
        <is>
          <t>Delivery charged</t>
        </is>
      </c>
      <c r="B7" s="9" t="n">
        <v>3.95</v>
      </c>
      <c r="C7" s="10" t="inlineStr"/>
    </row>
    <row r="8">
      <c r="A8" s="8" t="inlineStr">
        <is>
          <t>Orders a month</t>
        </is>
      </c>
      <c r="B8" s="11" t="n">
        <v>120</v>
      </c>
      <c r="C8" s="10" t="inlineStr">
        <is>
          <t>This decides whether your own site's monthly fee is worth paying.</t>
        </is>
      </c>
    </row>
    <row r="10" ht="19" customHeight="1">
      <c r="A10" s="6" t="inlineStr">
        <is>
          <t xml:space="preserve">  What it costs you</t>
        </is>
      </c>
      <c r="B10" s="7" t="n"/>
      <c r="C10" s="7" t="n"/>
    </row>
    <row r="11">
      <c r="A11" s="8" t="inlineStr">
        <is>
          <t>Cost of the goods</t>
        </is>
      </c>
      <c r="B11" s="9" t="n">
        <v>7.2</v>
      </c>
      <c r="C11" s="10" t="inlineStr"/>
    </row>
    <row r="12">
      <c r="A12" s="8" t="inlineStr">
        <is>
          <t>Postage you pay</t>
        </is>
      </c>
      <c r="B12" s="9" t="n">
        <v>3.2</v>
      </c>
      <c r="C12" s="10" t="inlineStr">
        <is>
          <t>Set to 0 for the Amazon line if you use FBA, because the fulfilment fee covers it.</t>
        </is>
      </c>
    </row>
    <row r="13">
      <c r="A13" s="8" t="inlineStr">
        <is>
          <t>Packaging</t>
        </is>
      </c>
      <c r="B13" s="9" t="n">
        <v>0.55</v>
      </c>
      <c r="C13" s="10" t="inlineStr"/>
    </row>
    <row r="14">
      <c r="A14" s="8" t="inlineStr">
        <is>
          <t>Your VAT rate</t>
        </is>
      </c>
      <c r="B14" s="12" t="n">
        <v>0.2</v>
      </c>
      <c r="C14" s="10" t="inlineStr">
        <is>
          <t>0% if not registered, and every platform then adds 20% to its fees that you cannot recover.</t>
        </is>
      </c>
    </row>
    <row r="16" ht="19" customHeight="1">
      <c r="A16" s="6" t="inlineStr">
        <is>
          <t xml:space="preserve">  Amazon</t>
        </is>
      </c>
      <c r="B16" s="7" t="n"/>
      <c r="C16" s="7" t="n"/>
    </row>
    <row r="17">
      <c r="A17" s="8" t="inlineStr">
        <is>
          <t>Referral fee</t>
        </is>
      </c>
      <c r="B17" s="12" t="n">
        <v>0.15</v>
      </c>
      <c r="C17" s="10" t="inlineStr">
        <is>
          <t>Most categories. 25p minimum.</t>
        </is>
      </c>
    </row>
    <row r="18">
      <c r="A18" s="8" t="inlineStr">
        <is>
          <t>Fulfilment fee</t>
        </is>
      </c>
      <c r="B18" s="9" t="n">
        <v>3.05</v>
      </c>
      <c r="C18" s="10" t="inlineStr">
        <is>
          <t>Your size tier, or your own pick and pack cost.</t>
        </is>
      </c>
    </row>
    <row r="19">
      <c r="A19" s="8" t="inlineStr">
        <is>
          <t>Digital services fee</t>
        </is>
      </c>
      <c r="B19" s="12" t="n">
        <v>0.02</v>
      </c>
      <c r="C19" s="10" t="inlineStr">
        <is>
          <t>Charged on the Amazon fees, not on the sale.</t>
        </is>
      </c>
    </row>
    <row r="21" ht="19" customHeight="1">
      <c r="A21" s="6" t="inlineStr">
        <is>
          <t xml:space="preserve">  eBay</t>
        </is>
      </c>
      <c r="B21" s="7" t="n"/>
      <c r="C21" s="7" t="n"/>
    </row>
    <row r="22">
      <c r="A22" s="8" t="inlineStr">
        <is>
          <t>Final value fee</t>
        </is>
      </c>
      <c r="B22" s="12" t="n">
        <v>0.128</v>
      </c>
      <c r="C22" s="10" t="inlineStr"/>
    </row>
    <row r="23">
      <c r="A23" s="8" t="inlineStr">
        <is>
          <t>Per-order fee</t>
        </is>
      </c>
      <c r="B23" s="9" t="n">
        <v>0.4</v>
      </c>
      <c r="C23" s="10" t="inlineStr"/>
    </row>
    <row r="24">
      <c r="A24" s="8" t="inlineStr">
        <is>
          <t>Regulatory operating fee</t>
        </is>
      </c>
      <c r="B24" s="12" t="n">
        <v>0.0035</v>
      </c>
      <c r="C24" s="10" t="inlineStr"/>
    </row>
    <row r="26" ht="19" customHeight="1">
      <c r="A26" s="6" t="inlineStr">
        <is>
          <t xml:space="preserve">  Etsy</t>
        </is>
      </c>
      <c r="B26" s="7" t="n"/>
      <c r="C26" s="7" t="n"/>
    </row>
    <row r="27">
      <c r="A27" s="8" t="inlineStr">
        <is>
          <t>Listing fee</t>
        </is>
      </c>
      <c r="B27" s="9" t="n">
        <v>0.2</v>
      </c>
      <c r="C27" s="10" t="inlineStr"/>
    </row>
    <row r="28">
      <c r="A28" s="8" t="inlineStr">
        <is>
          <t>Transaction fee</t>
        </is>
      </c>
      <c r="B28" s="12" t="n">
        <v>0.065</v>
      </c>
      <c r="C28" s="10" t="inlineStr"/>
    </row>
    <row r="29">
      <c r="A29" s="8" t="inlineStr">
        <is>
          <t>Processing, percentage</t>
        </is>
      </c>
      <c r="B29" s="12" t="n">
        <v>0.04</v>
      </c>
      <c r="C29" s="10" t="inlineStr"/>
    </row>
    <row r="30">
      <c r="A30" s="8" t="inlineStr">
        <is>
          <t>Processing, fixed</t>
        </is>
      </c>
      <c r="B30" s="9" t="n">
        <v>0.2</v>
      </c>
      <c r="C30" s="10" t="inlineStr"/>
    </row>
    <row r="31">
      <c r="A31" s="8" t="inlineStr">
        <is>
          <t>Regulatory operating fee</t>
        </is>
      </c>
      <c r="B31" s="12" t="n">
        <v>0.0048</v>
      </c>
      <c r="C31" s="10" t="inlineStr"/>
    </row>
    <row r="33" ht="19" customHeight="1">
      <c r="A33" s="6" t="inlineStr">
        <is>
          <t xml:space="preserve">  Your own site</t>
        </is>
      </c>
      <c r="B33" s="7" t="n"/>
      <c r="C33" s="7" t="n"/>
    </row>
    <row r="34">
      <c r="A34" s="8" t="inlineStr">
        <is>
          <t>Monthly subscription</t>
        </is>
      </c>
      <c r="B34" s="9" t="n">
        <v>25</v>
      </c>
      <c r="C34" s="10" t="inlineStr">
        <is>
          <t>Platform, apps, hosting and theme. The fixed cost the marketplaces do not have.</t>
        </is>
      </c>
    </row>
    <row r="35">
      <c r="A35" s="8" t="inlineStr">
        <is>
          <t>Payment processing</t>
        </is>
      </c>
      <c r="B35" s="12" t="n">
        <v>0.019</v>
      </c>
      <c r="C35" s="10" t="inlineStr"/>
    </row>
    <row r="36">
      <c r="A36" s="8" t="inlineStr">
        <is>
          <t>Processing, fixed</t>
        </is>
      </c>
      <c r="B36" s="9" t="n">
        <v>0.25</v>
      </c>
      <c r="C36" s="10" t="inlineStr"/>
    </row>
    <row r="38" ht="19" customHeight="1">
      <c r="A38" s="6" t="inlineStr">
        <is>
          <t xml:space="preserve">  What each channel costs</t>
        </is>
      </c>
      <c r="B38" s="7" t="n"/>
      <c r="C38" s="7" t="n"/>
      <c r="D38" s="7" t="n"/>
    </row>
    <row r="39">
      <c r="A39" s="13" t="inlineStr">
        <is>
          <t>Channel</t>
        </is>
      </c>
      <c r="B39" s="13" t="inlineStr">
        <is>
          <t>Fee</t>
        </is>
      </c>
      <c r="C39" s="13" t="inlineStr">
        <is>
          <t>Share of the order</t>
        </is>
      </c>
      <c r="D39" s="13" t="inlineStr">
        <is>
          <t>You keep</t>
        </is>
      </c>
    </row>
    <row r="40">
      <c r="A40" s="14" t="inlineStr">
        <is>
          <t>Your own site</t>
        </is>
      </c>
      <c r="B40" s="15">
        <f>(($B$6+$B$7)*$B$35+$B$36)*(IF($B$14&gt;0,1,1.2))</f>
        <v/>
      </c>
      <c r="C40" s="16">
        <f>IFERROR(((($B$6+$B$7)*$B$35+$B$36)*(IF($B$14&gt;0,1,1.2)))/($B$6+$B$7),"")</f>
        <v/>
      </c>
      <c r="D40" s="15">
        <f>((IF($B$14&gt;0,IFERROR(($B$6+$B$7)/(1+$B$14),0),($B$6+$B$7)))-$B$11-$B$12-(IF($B$14&gt;0,IFERROR($B$13/(1+$B$14),0),$B$13)))-((($B$6+$B$7)*$B$35+$B$36)*(IF($B$14&gt;0,1,1.2)))</f>
        <v/>
      </c>
    </row>
    <row r="41">
      <c r="A41" s="14" t="inlineStr">
        <is>
          <t>Etsy</t>
        </is>
      </c>
      <c r="B41" s="15">
        <f>($B$27+($B$6+$B$7)*$B$28+($B$6+$B$7)*$B$29+$B$30+($B$6+$B$7)*$B$31)*(IF($B$14&gt;0,1,1.2))</f>
        <v/>
      </c>
      <c r="C41" s="16">
        <f>IFERROR((($B$27+($B$6+$B$7)*$B$28+($B$6+$B$7)*$B$29+$B$30+($B$6+$B$7)*$B$31)*(IF($B$14&gt;0,1,1.2)))/($B$6+$B$7),"")</f>
        <v/>
      </c>
      <c r="D41" s="15">
        <f>((IF($B$14&gt;0,IFERROR(($B$6+$B$7)/(1+$B$14),0),($B$6+$B$7)))-$B$11-$B$12-(IF($B$14&gt;0,IFERROR($B$13/(1+$B$14),0),$B$13)))-(($B$27+($B$6+$B$7)*$B$28+($B$6+$B$7)*$B$29+$B$30+($B$6+$B$7)*$B$31)*(IF($B$14&gt;0,1,1.2)))</f>
        <v/>
      </c>
    </row>
    <row r="42">
      <c r="A42" s="14" t="inlineStr">
        <is>
          <t>eBay</t>
        </is>
      </c>
      <c r="B42" s="15">
        <f>(($B$6+$B$7)*$B$22+$B$23+($B$6+$B$7)*$B$24)*(IF($B$14&gt;0,1,1.2))</f>
        <v/>
      </c>
      <c r="C42" s="16">
        <f>IFERROR(((($B$6+$B$7)*$B$22+$B$23+($B$6+$B$7)*$B$24)*(IF($B$14&gt;0,1,1.2)))/($B$6+$B$7),"")</f>
        <v/>
      </c>
      <c r="D42" s="15">
        <f>((IF($B$14&gt;0,IFERROR(($B$6+$B$7)/(1+$B$14),0),($B$6+$B$7)))-$B$11-$B$12-(IF($B$14&gt;0,IFERROR($B$13/(1+$B$14),0),$B$13)))-((($B$6+$B$7)*$B$22+$B$23+($B$6+$B$7)*$B$24)*(IF($B$14&gt;0,1,1.2)))</f>
        <v/>
      </c>
    </row>
    <row r="43">
      <c r="A43" s="14" t="inlineStr">
        <is>
          <t>Amazon FBA</t>
        </is>
      </c>
      <c r="B43" s="15">
        <f>(MAX($B$6*$B$17,0.25)+$B$18)*(1+$B$19)*(IF($B$14&gt;0,1,1.2))</f>
        <v/>
      </c>
      <c r="C43" s="16">
        <f>IFERROR(((MAX($B$6*$B$17,0.25)+$B$18)*(1+$B$19)*(IF($B$14&gt;0,1,1.2)))/($B$6+$B$7),"")</f>
        <v/>
      </c>
      <c r="D43" s="15">
        <f>((IF($B$14&gt;0,IFERROR(($B$6+$B$7)/(1+$B$14),0),($B$6+$B$7)))-$B$11-$B$12-(IF($B$14&gt;0,IFERROR($B$13/(1+$B$14),0),$B$13)))-((MAX($B$6*$B$17,0.25)+$B$18)*(1+$B$19)*(IF($B$14&gt;0,1,1.2)))</f>
        <v/>
      </c>
    </row>
    <row r="45" ht="19" customHeight="1">
      <c r="A45" s="6" t="inlineStr">
        <is>
          <t xml:space="preserve">  The answer</t>
        </is>
      </c>
      <c r="B45" s="7" t="n"/>
      <c r="C45" s="7" t="n"/>
    </row>
    <row r="46">
      <c r="A46" s="8" t="inlineStr">
        <is>
          <t>Best marketplace keeps</t>
        </is>
      </c>
      <c r="B46" s="17">
        <f>MAX(((IF($B$14&gt;0,IFERROR(($B$6+$B$7)/(1+$B$14),0),($B$6+$B$7)))-$B$11-$B$12-(IF($B$14&gt;0,IFERROR($B$13/(1+$B$14),0),$B$13)))-(($B$27+($B$6+$B$7)*$B$28+($B$6+$B$7)*$B$29+$B$30+($B$6+$B$7)*$B$31)*(IF($B$14&gt;0,1,1.2))),((IF($B$14&gt;0,IFERROR(($B$6+$B$7)/(1+$B$14),0),($B$6+$B$7)))-$B$11-$B$12-(IF($B$14&gt;0,IFERROR($B$13/(1+$B$14),0),$B$13)))-((($B$6+$B$7)*$B$22+$B$23+($B$6+$B$7)*$B$24)*(IF($B$14&gt;0,1,1.2))),((IF($B$14&gt;0,IFERROR(($B$6+$B$7)/(1+$B$14),0),($B$6+$B$7)))-$B$11-$B$12-(IF($B$14&gt;0,IFERROR($B$13/(1+$B$14),0),$B$13)))-((MAX($B$6*$B$17,0.25)+$B$18)*(1+$B$19)*(IF($B$14&gt;0,1,1.2))))</f>
        <v/>
      </c>
      <c r="C46" s="10" t="inlineStr">
        <is>
          <t>The most any of the three leaves you on this order.</t>
        </is>
      </c>
    </row>
    <row r="47">
      <c r="A47" s="8" t="inlineStr">
        <is>
          <t>Your own site keeps this much more</t>
        </is>
      </c>
      <c r="B47" s="17">
        <f>(((IF($B$14&gt;0,IFERROR(($B$6+$B$7)/(1+$B$14),0),($B$6+$B$7)))-$B$11-$B$12-(IF($B$14&gt;0,IFERROR($B$13/(1+$B$14),0),$B$13)))-((($B$6+$B$7)*$B$35+$B$36)*(IF($B$14&gt;0,1,1.2))))-(MAX(((IF($B$14&gt;0,IFERROR(($B$6+$B$7)/(1+$B$14),0),($B$6+$B$7)))-$B$11-$B$12-(IF($B$14&gt;0,IFERROR($B$13/(1+$B$14),0),$B$13)))-(($B$27+($B$6+$B$7)*$B$28+($B$6+$B$7)*$B$29+$B$30+($B$6+$B$7)*$B$31)*(IF($B$14&gt;0,1,1.2))),((IF($B$14&gt;0,IFERROR(($B$6+$B$7)/(1+$B$14),0),($B$6+$B$7)))-$B$11-$B$12-(IF($B$14&gt;0,IFERROR($B$13/(1+$B$14),0),$B$13)))-((($B$6+$B$7)*$B$22+$B$23+($B$6+$B$7)*$B$24)*(IF($B$14&gt;0,1,1.2))),((IF($B$14&gt;0,IFERROR(($B$6+$B$7)/(1+$B$14),0),($B$6+$B$7)))-$B$11-$B$12-(IF($B$14&gt;0,IFERROR($B$13/(1+$B$14),0),$B$13)))-((MAX($B$6*$B$17,0.25)+$B$18)*(1+$B$19)*(IF($B$14&gt;0,1,1.2)))))</f>
        <v/>
      </c>
    </row>
    <row r="48">
      <c r="A48" s="8" t="inlineStr">
        <is>
          <t xml:space="preserve">  less the subscription, per order</t>
        </is>
      </c>
      <c r="B48" s="17">
        <f>IFERROR($B$34/$B$8,0)</f>
        <v/>
      </c>
    </row>
    <row r="49">
      <c r="A49" s="18" t="inlineStr">
        <is>
          <t>Most you can spend winning a customer</t>
        </is>
      </c>
      <c r="B49" s="19">
        <f>((((IF($B$14&gt;0,IFERROR(($B$6+$B$7)/(1+$B$14),0),($B$6+$B$7)))-$B$11-$B$12-(IF($B$14&gt;0,IFERROR($B$13/(1+$B$14),0),$B$13)))-((($B$6+$B$7)*$B$35+$B$36)*(IF($B$14&gt;0,1,1.2))))-(MAX(((IF($B$14&gt;0,IFERROR(($B$6+$B$7)/(1+$B$14),0),($B$6+$B$7)))-$B$11-$B$12-(IF($B$14&gt;0,IFERROR($B$13/(1+$B$14),0),$B$13)))-(($B$27+($B$6+$B$7)*$B$28+($B$6+$B$7)*$B$29+$B$30+($B$6+$B$7)*$B$31)*(IF($B$14&gt;0,1,1.2))),((IF($B$14&gt;0,IFERROR(($B$6+$B$7)/(1+$B$14),0),($B$6+$B$7)))-$B$11-$B$12-(IF($B$14&gt;0,IFERROR($B$13/(1+$B$14),0),$B$13)))-((($B$6+$B$7)*$B$22+$B$23+($B$6+$B$7)*$B$24)*(IF($B$14&gt;0,1,1.2))),((IF($B$14&gt;0,IFERROR(($B$6+$B$7)/(1+$B$14),0),($B$6+$B$7)))-$B$11-$B$12-(IF($B$14&gt;0,IFERROR($B$13/(1+$B$14),0),$B$13)))-((MAX($B$6*$B$17,0.25)+$B$18)*(1+$B$19)*(IF($B$14&gt;0,1,1.2))))))-(IFERROR($B$34/$B$8,0))</f>
        <v/>
      </c>
      <c r="C49" s="10" t="inlineStr">
        <is>
          <t>At exactly this cost per acquisition the two leave you the same money in a month.</t>
        </is>
      </c>
    </row>
    <row r="50">
      <c r="A50" s="8" t="inlineStr">
        <is>
          <t xml:space="preserve">  as a share of the order</t>
        </is>
      </c>
      <c r="B50" s="20">
        <f>IFERROR((((((IF($B$14&gt;0,IFERROR(($B$6+$B$7)/(1+$B$14),0),($B$6+$B$7)))-$B$11-$B$12-(IF($B$14&gt;0,IFERROR($B$13/(1+$B$14),0),$B$13)))-((($B$6+$B$7)*$B$35+$B$36)*(IF($B$14&gt;0,1,1.2))))-(MAX(((IF($B$14&gt;0,IFERROR(($B$6+$B$7)/(1+$B$14),0),($B$6+$B$7)))-$B$11-$B$12-(IF($B$14&gt;0,IFERROR($B$13/(1+$B$14),0),$B$13)))-(($B$27+($B$6+$B$7)*$B$28+($B$6+$B$7)*$B$29+$B$30+($B$6+$B$7)*$B$31)*(IF($B$14&gt;0,1,1.2))),((IF($B$14&gt;0,IFERROR(($B$6+$B$7)/(1+$B$14),0),($B$6+$B$7)))-$B$11-$B$12-(IF($B$14&gt;0,IFERROR($B$13/(1+$B$14),0),$B$13)))-((($B$6+$B$7)*$B$22+$B$23+($B$6+$B$7)*$B$24)*(IF($B$14&gt;0,1,1.2))),((IF($B$14&gt;0,IFERROR(($B$6+$B$7)/(1+$B$14),0),($B$6+$B$7)))-$B$11-$B$12-(IF($B$14&gt;0,IFERROR($B$13/(1+$B$14),0),$B$13)))-((MAX($B$6*$B$17,0.25)+$B$18)*(1+$B$19)*(IF($B$14&gt;0,1,1.2))))))-(IFERROR($B$34/$B$8,0)))/($B$6+$B$7),"")</f>
        <v/>
      </c>
    </row>
    <row r="51">
      <c r="A51" s="8" t="inlineStr">
        <is>
          <t>The subscription pays for itself at</t>
        </is>
      </c>
      <c r="B51" s="21">
        <f>IF(((((IF($B$14&gt;0,IFERROR(($B$6+$B$7)/(1+$B$14),0),($B$6+$B$7)))-$B$11-$B$12-(IF($B$14&gt;0,IFERROR($B$13/(1+$B$14),0),$B$13)))-((($B$6+$B$7)*$B$35+$B$36)*(IF($B$14&gt;0,1,1.2))))-(MAX(((IF($B$14&gt;0,IFERROR(($B$6+$B$7)/(1+$B$14),0),($B$6+$B$7)))-$B$11-$B$12-(IF($B$14&gt;0,IFERROR($B$13/(1+$B$14),0),$B$13)))-(($B$27+($B$6+$B$7)*$B$28+($B$6+$B$7)*$B$29+$B$30+($B$6+$B$7)*$B$31)*(IF($B$14&gt;0,1,1.2))),((IF($B$14&gt;0,IFERROR(($B$6+$B$7)/(1+$B$14),0),($B$6+$B$7)))-$B$11-$B$12-(IF($B$14&gt;0,IFERROR($B$13/(1+$B$14),0),$B$13)))-((($B$6+$B$7)*$B$22+$B$23+($B$6+$B$7)*$B$24)*(IF($B$14&gt;0,1,1.2))),((IF($B$14&gt;0,IFERROR(($B$6+$B$7)/(1+$B$14),0),($B$6+$B$7)))-$B$11-$B$12-(IF($B$14&gt;0,IFERROR($B$13/(1+$B$14),0),$B$13)))-((MAX($B$6*$B$17,0.25)+$B$18)*(1+$B$19)*(IF($B$14&gt;0,1,1.2))))))&lt;=0,"never",IFERROR($B$34/((((IF($B$14&gt;0,IFERROR(($B$6+$B$7)/(1+$B$14),0),($B$6+$B$7)))-$B$11-$B$12-(IF($B$14&gt;0,IFERROR($B$13/(1+$B$14),0),$B$13)))-((($B$6+$B$7)*$B$35+$B$36)*(IF($B$14&gt;0,1,1.2))))-(MAX(((IF($B$14&gt;0,IFERROR(($B$6+$B$7)/(1+$B$14),0),($B$6+$B$7)))-$B$11-$B$12-(IF($B$14&gt;0,IFERROR($B$13/(1+$B$14),0),$B$13)))-(($B$27+($B$6+$B$7)*$B$28+($B$6+$B$7)*$B$29+$B$30+($B$6+$B$7)*$B$31)*(IF($B$14&gt;0,1,1.2))),((IF($B$14&gt;0,IFERROR(($B$6+$B$7)/(1+$B$14),0),($B$6+$B$7)))-$B$11-$B$12-(IF($B$14&gt;0,IFERROR($B$13/(1+$B$14),0),$B$13)))-((($B$6+$B$7)*$B$22+$B$23+($B$6+$B$7)*$B$24)*(IF($B$14&gt;0,1,1.2))),((IF($B$14&gt;0,IFERROR(($B$6+$B$7)/(1+$B$14),0),($B$6+$B$7)))-$B$11-$B$12-(IF($B$14&gt;0,IFERROR($B$13/(1+$B$14),0),$B$13)))-((MAX($B$6*$B$17,0.25)+$B$18)*(1+$B$19)*(IF($B$14&gt;0,1,1.2)))))),""))</f>
        <v/>
      </c>
      <c r="C51" s="10" t="inlineStr">
        <is>
          <t>orders a month</t>
        </is>
      </c>
    </row>
    <row r="52">
      <c r="A52" s="8" t="inlineStr">
        <is>
          <t>Widest fee gap on this order</t>
        </is>
      </c>
      <c r="B52" s="17">
        <f>MAX((($B$6+$B$7)*$B$35+$B$36)*(IF($B$14&gt;0,1,1.2)),($B$27+($B$6+$B$7)*$B$28+($B$6+$B$7)*$B$29+$B$30+($B$6+$B$7)*$B$31)*(IF($B$14&gt;0,1,1.2)),(($B$6+$B$7)*$B$22+$B$23+($B$6+$B$7)*$B$24)*(IF($B$14&gt;0,1,1.2)),(MAX($B$6*$B$17,0.25)+$B$18)*(1+$B$19)*(IF($B$14&gt;0,1,1.2)))-MIN((($B$6+$B$7)*$B$35+$B$36)*(IF($B$14&gt;0,1,1.2)),($B$27+($B$6+$B$7)*$B$28+($B$6+$B$7)*$B$29+$B$30+($B$6+$B$7)*$B$31)*(IF($B$14&gt;0,1,1.2)),(($B$6+$B$7)*$B$22+$B$23+($B$6+$B$7)*$B$24)*(IF($B$14&gt;0,1,1.2)),(MAX($B$6*$B$17,0.25)+$B$18)*(1+$B$19)*(IF($B$14&gt;0,1,1.2)))</f>
        <v/>
      </c>
    </row>
    <row r="53">
      <c r="A53" s="8" t="inlineStr">
        <is>
          <t>Verdict</t>
        </is>
      </c>
      <c r="B53" s="14">
        <f>IF(((((IF($B$14&gt;0,IFERROR(($B$6+$B$7)/(1+$B$14),0),($B$6+$B$7)))-$B$11-$B$12-(IF($B$14&gt;0,IFERROR($B$13/(1+$B$14),0),$B$13)))-((($B$6+$B$7)*$B$35+$B$36)*(IF($B$14&gt;0,1,1.2))))-(MAX(((IF($B$14&gt;0,IFERROR(($B$6+$B$7)/(1+$B$14),0),($B$6+$B$7)))-$B$11-$B$12-(IF($B$14&gt;0,IFERROR($B$13/(1+$B$14),0),$B$13)))-(($B$27+($B$6+$B$7)*$B$28+($B$6+$B$7)*$B$29+$B$30+($B$6+$B$7)*$B$31)*(IF($B$14&gt;0,1,1.2))),((IF($B$14&gt;0,IFERROR(($B$6+$B$7)/(1+$B$14),0),($B$6+$B$7)))-$B$11-$B$12-(IF($B$14&gt;0,IFERROR($B$13/(1+$B$14),0),$B$13)))-((($B$6+$B$7)*$B$22+$B$23+($B$6+$B$7)*$B$24)*(IF($B$14&gt;0,1,1.2))),((IF($B$14&gt;0,IFERROR(($B$6+$B$7)/(1+$B$14),0),($B$6+$B$7)))-$B$11-$B$12-(IF($B$14&gt;0,IFERROR($B$13/(1+$B$14),0),$B$13)))-((MAX($B$6*$B$17,0.25)+$B$18)*(1+$B$19)*(IF($B$14&gt;0,1,1.2))))))&lt;=0,"A marketplace keeps more of this order",IF((((((IF($B$14&gt;0,IFERROR(($B$6+$B$7)/(1+$B$14),0),($B$6+$B$7)))-$B$11-$B$12-(IF($B$14&gt;0,IFERROR($B$13/(1+$B$14),0),$B$13)))-((($B$6+$B$7)*$B$35+$B$36)*(IF($B$14&gt;0,1,1.2))))-(MAX(((IF($B$14&gt;0,IFERROR(($B$6+$B$7)/(1+$B$14),0),($B$6+$B$7)))-$B$11-$B$12-(IF($B$14&gt;0,IFERROR($B$13/(1+$B$14),0),$B$13)))-(($B$27+($B$6+$B$7)*$B$28+($B$6+$B$7)*$B$29+$B$30+($B$6+$B$7)*$B$31)*(IF($B$14&gt;0,1,1.2))),((IF($B$14&gt;0,IFERROR(($B$6+$B$7)/(1+$B$14),0),($B$6+$B$7)))-$B$11-$B$12-(IF($B$14&gt;0,IFERROR($B$13/(1+$B$14),0),$B$13)))-((($B$6+$B$7)*$B$22+$B$23+($B$6+$B$7)*$B$24)*(IF($B$14&gt;0,1,1.2))),((IF($B$14&gt;0,IFERROR(($B$6+$B$7)/(1+$B$14),0),($B$6+$B$7)))-$B$11-$B$12-(IF($B$14&gt;0,IFERROR($B$13/(1+$B$14),0),$B$13)))-((MAX($B$6*$B$17,0.25)+$B$18)*(1+$B$19)*(IF($B$14&gt;0,1,1.2))))))-(IFERROR($B$34/$B$8,0)))&lt;=0,"Not enough orders to justify the subscription","Your own site wins below that cost per acquisition"))</f>
        <v/>
      </c>
    </row>
    <row r="55">
      <c r="A55" s="22" t="inlineStr">
        <is>
          <t>A marketplace fee is rent on somebody else's audience. The figure above is exactly what that audience is worth to you.</t>
        </is>
      </c>
    </row>
  </sheetData>
  <conditionalFormatting sqref="B49">
    <cfRule type="cellIs" priority="1" operator="lessThanOrEqual" dxfId="0">
      <formula>0</formula>
    </cfRule>
    <cfRule type="cellIs" priority="2" operator="greaterThan" dxfId="1">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30"/>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2" customWidth="1" min="1" max="1"/>
    <col width="10" customWidth="1" min="2" max="2"/>
    <col width="10" customWidth="1" min="3" max="3"/>
    <col width="10" customWidth="1" min="4" max="4"/>
    <col width="10" customWidth="1" min="5" max="5"/>
    <col width="10" customWidth="1" min="6" max="6"/>
    <col width="12" customWidth="1" min="7" max="7"/>
    <col width="11" customWidth="1" min="8" max="8"/>
    <col width="11" customWidth="1" min="9" max="9"/>
    <col width="11" customWidth="1" min="10" max="10"/>
    <col width="11" customWidth="1" min="11" max="11"/>
    <col width="14" customWidth="1" min="12" max="12"/>
    <col width="11" customWidth="1" min="13" max="13"/>
  </cols>
  <sheetData>
    <row r="1">
      <c r="A1" s="1" t="inlineStr">
        <is>
          <t>ZAZEN TAX</t>
        </is>
      </c>
    </row>
    <row r="2">
      <c r="A2" s="2" t="inlineStr">
        <is>
          <t>Twelve products, four channels each</t>
        </is>
      </c>
    </row>
    <row r="5">
      <c r="A5" s="3" t="inlineStr">
        <is>
          <t>Yellow is yours. Every rate comes from the One order sheet, so change them once there. The four channel columns are what you keep on that channel.</t>
        </is>
      </c>
    </row>
    <row r="6" ht="28" customHeight="1">
      <c r="A6" s="23" t="inlineStr">
        <is>
          <t>Product</t>
        </is>
      </c>
      <c r="B6" s="23" t="inlineStr">
        <is>
          <t>Price</t>
        </is>
      </c>
      <c r="C6" s="23" t="inlineStr">
        <is>
          <t>Delivery</t>
        </is>
      </c>
      <c r="D6" s="23" t="inlineStr">
        <is>
          <t>Goods</t>
        </is>
      </c>
      <c r="E6" s="23" t="inlineStr">
        <is>
          <t>Postage</t>
        </is>
      </c>
      <c r="F6" s="23" t="inlineStr">
        <is>
          <t>Packaging</t>
        </is>
      </c>
      <c r="G6" s="23" t="inlineStr">
        <is>
          <t>Orders a month</t>
        </is>
      </c>
      <c r="H6" s="23" t="inlineStr">
        <is>
          <t>Own site</t>
        </is>
      </c>
      <c r="I6" s="23" t="inlineStr">
        <is>
          <t>Etsy</t>
        </is>
      </c>
      <c r="J6" s="23" t="inlineStr">
        <is>
          <t>eBay</t>
        </is>
      </c>
      <c r="K6" s="23" t="inlineStr">
        <is>
          <t>Amazon</t>
        </is>
      </c>
      <c r="L6" s="23" t="inlineStr">
        <is>
          <t>Best channel</t>
        </is>
      </c>
      <c r="M6" s="23" t="inlineStr">
        <is>
          <t>Best keeps</t>
        </is>
      </c>
    </row>
    <row r="8">
      <c r="A8" s="24" t="inlineStr">
        <is>
          <t>Sticker pack</t>
        </is>
      </c>
      <c r="B8" s="25" t="n">
        <v>4.5</v>
      </c>
      <c r="C8" s="25" t="n">
        <v>1.2</v>
      </c>
      <c r="D8" s="25" t="n">
        <v>1.35</v>
      </c>
      <c r="E8" s="25" t="n">
        <v>1.1</v>
      </c>
      <c r="F8" s="25" t="n">
        <v>0.15</v>
      </c>
      <c r="G8" s="26" t="n">
        <v>240</v>
      </c>
      <c r="H8" s="15">
        <f>IF($B8="","",((IF('One order'!$B$14&gt;0,IFERROR(($B8+$C8)/(1+'One order'!$B$14),0),($B8+$C8)))-$D8-$E8-(IF('One order'!$B$14&gt;0,IFERROR($F8/(1+'One order'!$B$14),0),$F8)))-((($B8+$C8)*'One order'!$B$35+'One order'!$B$36)*(IF('One order'!$B$14&gt;0,1,1.2))))</f>
        <v/>
      </c>
      <c r="I8" s="15">
        <f>IF($B8="","",((IF('One order'!$B$14&gt;0,IFERROR(($B8+$C8)/(1+'One order'!$B$14),0),($B8+$C8)))-$D8-$E8-(IF('One order'!$B$14&gt;0,IFERROR($F8/(1+'One order'!$B$14),0),$F8)))-(('One order'!$B$27+($B8+$C8)*'One order'!$B$28+($B8+$C8)*'One order'!$B$29+'One order'!$B$30+($B8+$C8)*'One order'!$B$31)*(IF('One order'!$B$14&gt;0,1,1.2))))</f>
        <v/>
      </c>
      <c r="J8" s="15">
        <f>IF($B8="","",((IF('One order'!$B$14&gt;0,IFERROR(($B8+$C8)/(1+'One order'!$B$14),0),($B8+$C8)))-$D8-$E8-(IF('One order'!$B$14&gt;0,IFERROR($F8/(1+'One order'!$B$14),0),$F8)))-((($B8+$C8)*'One order'!$B$22+'One order'!$B$23+($B8+$C8)*'One order'!$B$24)*(IF('One order'!$B$14&gt;0,1,1.2))))</f>
        <v/>
      </c>
      <c r="K8" s="15">
        <f>IF($B8="","",((IF('One order'!$B$14&gt;0,IFERROR(($B8+$C8)/(1+'One order'!$B$14),0),($B8+$C8)))-$D8-$E8-(IF('One order'!$B$14&gt;0,IFERROR($F8/(1+'One order'!$B$14),0),$F8)))-((MAX($B8*'One order'!$B$17,0.25)+'One order'!$B$18)*(1+'One order'!$B$19)*(IF('One order'!$B$14&gt;0,1,1.2))))</f>
        <v/>
      </c>
      <c r="L8" s="27">
        <f>IF($B8="","",IFERROR(INDEX($H$6:$K$6,MATCH(MAX($H8,$I8,$J8,$K8),$H8:$K8,0)),""))</f>
        <v/>
      </c>
      <c r="M8" s="15">
        <f>IF($B8="","",MAX($H8,$I8,$J8,$K8))</f>
        <v/>
      </c>
    </row>
    <row r="9">
      <c r="A9" s="24" t="inlineStr">
        <is>
          <t>Enamel pin</t>
        </is>
      </c>
      <c r="B9" s="25" t="n">
        <v>9.5</v>
      </c>
      <c r="C9" s="25" t="n">
        <v>1.6</v>
      </c>
      <c r="D9" s="25" t="n">
        <v>2.1</v>
      </c>
      <c r="E9" s="25" t="n">
        <v>1.35</v>
      </c>
      <c r="F9" s="25" t="n">
        <v>0.25</v>
      </c>
      <c r="G9" s="26" t="n">
        <v>180</v>
      </c>
      <c r="H9" s="15">
        <f>IF($B9="","",((IF('One order'!$B$14&gt;0,IFERROR(($B9+$C9)/(1+'One order'!$B$14),0),($B9+$C9)))-$D9-$E9-(IF('One order'!$B$14&gt;0,IFERROR($F9/(1+'One order'!$B$14),0),$F9)))-((($B9+$C9)*'One order'!$B$35+'One order'!$B$36)*(IF('One order'!$B$14&gt;0,1,1.2))))</f>
        <v/>
      </c>
      <c r="I9" s="15">
        <f>IF($B9="","",((IF('One order'!$B$14&gt;0,IFERROR(($B9+$C9)/(1+'One order'!$B$14),0),($B9+$C9)))-$D9-$E9-(IF('One order'!$B$14&gt;0,IFERROR($F9/(1+'One order'!$B$14),0),$F9)))-(('One order'!$B$27+($B9+$C9)*'One order'!$B$28+($B9+$C9)*'One order'!$B$29+'One order'!$B$30+($B9+$C9)*'One order'!$B$31)*(IF('One order'!$B$14&gt;0,1,1.2))))</f>
        <v/>
      </c>
      <c r="J9" s="15">
        <f>IF($B9="","",((IF('One order'!$B$14&gt;0,IFERROR(($B9+$C9)/(1+'One order'!$B$14),0),($B9+$C9)))-$D9-$E9-(IF('One order'!$B$14&gt;0,IFERROR($F9/(1+'One order'!$B$14),0),$F9)))-((($B9+$C9)*'One order'!$B$22+'One order'!$B$23+($B9+$C9)*'One order'!$B$24)*(IF('One order'!$B$14&gt;0,1,1.2))))</f>
        <v/>
      </c>
      <c r="K9" s="15">
        <f>IF($B9="","",((IF('One order'!$B$14&gt;0,IFERROR(($B9+$C9)/(1+'One order'!$B$14),0),($B9+$C9)))-$D9-$E9-(IF('One order'!$B$14&gt;0,IFERROR($F9/(1+'One order'!$B$14),0),$F9)))-((MAX($B9*'One order'!$B$17,0.25)+'One order'!$B$18)*(1+'One order'!$B$19)*(IF('One order'!$B$14&gt;0,1,1.2))))</f>
        <v/>
      </c>
      <c r="L9" s="27">
        <f>IF($B9="","",IFERROR(INDEX($H$6:$K$6,MATCH(MAX($H9,$I9,$J9,$K9),$H9:$K9,0)),""))</f>
        <v/>
      </c>
      <c r="M9" s="15">
        <f>IF($B9="","",MAX($H9,$I9,$J9,$K9))</f>
        <v/>
      </c>
    </row>
    <row r="10">
      <c r="A10" s="24" t="inlineStr">
        <is>
          <t>Personalised keyring</t>
        </is>
      </c>
      <c r="B10" s="25" t="n">
        <v>6</v>
      </c>
      <c r="C10" s="25" t="n">
        <v>1.5</v>
      </c>
      <c r="D10" s="25" t="n">
        <v>2.4</v>
      </c>
      <c r="E10" s="25" t="n">
        <v>1.45</v>
      </c>
      <c r="F10" s="25" t="n">
        <v>0.35</v>
      </c>
      <c r="G10" s="26" t="n">
        <v>150</v>
      </c>
      <c r="H10" s="15">
        <f>IF($B10="","",((IF('One order'!$B$14&gt;0,IFERROR(($B10+$C10)/(1+'One order'!$B$14),0),($B10+$C10)))-$D10-$E10-(IF('One order'!$B$14&gt;0,IFERROR($F10/(1+'One order'!$B$14),0),$F10)))-((($B10+$C10)*'One order'!$B$35+'One order'!$B$36)*(IF('One order'!$B$14&gt;0,1,1.2))))</f>
        <v/>
      </c>
      <c r="I10" s="15">
        <f>IF($B10="","",((IF('One order'!$B$14&gt;0,IFERROR(($B10+$C10)/(1+'One order'!$B$14),0),($B10+$C10)))-$D10-$E10-(IF('One order'!$B$14&gt;0,IFERROR($F10/(1+'One order'!$B$14),0),$F10)))-(('One order'!$B$27+($B10+$C10)*'One order'!$B$28+($B10+$C10)*'One order'!$B$29+'One order'!$B$30+($B10+$C10)*'One order'!$B$31)*(IF('One order'!$B$14&gt;0,1,1.2))))</f>
        <v/>
      </c>
      <c r="J10" s="15">
        <f>IF($B10="","",((IF('One order'!$B$14&gt;0,IFERROR(($B10+$C10)/(1+'One order'!$B$14),0),($B10+$C10)))-$D10-$E10-(IF('One order'!$B$14&gt;0,IFERROR($F10/(1+'One order'!$B$14),0),$F10)))-((($B10+$C10)*'One order'!$B$22+'One order'!$B$23+($B10+$C10)*'One order'!$B$24)*(IF('One order'!$B$14&gt;0,1,1.2))))</f>
        <v/>
      </c>
      <c r="K10" s="15">
        <f>IF($B10="","",((IF('One order'!$B$14&gt;0,IFERROR(($B10+$C10)/(1+'One order'!$B$14),0),($B10+$C10)))-$D10-$E10-(IF('One order'!$B$14&gt;0,IFERROR($F10/(1+'One order'!$B$14),0),$F10)))-((MAX($B10*'One order'!$B$17,0.25)+'One order'!$B$18)*(1+'One order'!$B$19)*(IF('One order'!$B$14&gt;0,1,1.2))))</f>
        <v/>
      </c>
      <c r="L10" s="27">
        <f>IF($B10="","",IFERROR(INDEX($H$6:$K$6,MATCH(MAX($H10,$I10,$J10,$K10),$H10:$K10,0)),""))</f>
        <v/>
      </c>
      <c r="M10" s="15">
        <f>IF($B10="","",MAX($H10,$I10,$J10,$K10))</f>
        <v/>
      </c>
    </row>
    <row r="11">
      <c r="A11" s="24" t="inlineStr">
        <is>
          <t>Turned wooden spoon</t>
        </is>
      </c>
      <c r="B11" s="25" t="n">
        <v>16</v>
      </c>
      <c r="C11" s="25" t="n">
        <v>2.6</v>
      </c>
      <c r="D11" s="25" t="n">
        <v>3.8</v>
      </c>
      <c r="E11" s="25" t="n">
        <v>2.2</v>
      </c>
      <c r="F11" s="25" t="n">
        <v>0.3</v>
      </c>
      <c r="G11" s="26" t="n">
        <v>60</v>
      </c>
      <c r="H11" s="15">
        <f>IF($B11="","",((IF('One order'!$B$14&gt;0,IFERROR(($B11+$C11)/(1+'One order'!$B$14),0),($B11+$C11)))-$D11-$E11-(IF('One order'!$B$14&gt;0,IFERROR($F11/(1+'One order'!$B$14),0),$F11)))-((($B11+$C11)*'One order'!$B$35+'One order'!$B$36)*(IF('One order'!$B$14&gt;0,1,1.2))))</f>
        <v/>
      </c>
      <c r="I11" s="15">
        <f>IF($B11="","",((IF('One order'!$B$14&gt;0,IFERROR(($B11+$C11)/(1+'One order'!$B$14),0),($B11+$C11)))-$D11-$E11-(IF('One order'!$B$14&gt;0,IFERROR($F11/(1+'One order'!$B$14),0),$F11)))-(('One order'!$B$27+($B11+$C11)*'One order'!$B$28+($B11+$C11)*'One order'!$B$29+'One order'!$B$30+($B11+$C11)*'One order'!$B$31)*(IF('One order'!$B$14&gt;0,1,1.2))))</f>
        <v/>
      </c>
      <c r="J11" s="15">
        <f>IF($B11="","",((IF('One order'!$B$14&gt;0,IFERROR(($B11+$C11)/(1+'One order'!$B$14),0),($B11+$C11)))-$D11-$E11-(IF('One order'!$B$14&gt;0,IFERROR($F11/(1+'One order'!$B$14),0),$F11)))-((($B11+$C11)*'One order'!$B$22+'One order'!$B$23+($B11+$C11)*'One order'!$B$24)*(IF('One order'!$B$14&gt;0,1,1.2))))</f>
        <v/>
      </c>
      <c r="K11" s="15">
        <f>IF($B11="","",((IF('One order'!$B$14&gt;0,IFERROR(($B11+$C11)/(1+'One order'!$B$14),0),($B11+$C11)))-$D11-$E11-(IF('One order'!$B$14&gt;0,IFERROR($F11/(1+'One order'!$B$14),0),$F11)))-((MAX($B11*'One order'!$B$17,0.25)+'One order'!$B$18)*(1+'One order'!$B$19)*(IF('One order'!$B$14&gt;0,1,1.2))))</f>
        <v/>
      </c>
      <c r="L11" s="27">
        <f>IF($B11="","",IFERROR(INDEX($H$6:$K$6,MATCH(MAX($H11,$I11,$J11,$K11),$H11:$K11,0)),""))</f>
        <v/>
      </c>
      <c r="M11" s="15">
        <f>IF($B11="","",MAX($H11,$I11,$J11,$K11))</f>
        <v/>
      </c>
    </row>
    <row r="12">
      <c r="A12" s="24" t="inlineStr">
        <is>
          <t>Beeswax candle set</t>
        </is>
      </c>
      <c r="B12" s="25" t="n">
        <v>19.5</v>
      </c>
      <c r="C12" s="25" t="n">
        <v>3.95</v>
      </c>
      <c r="D12" s="25" t="n">
        <v>6.2</v>
      </c>
      <c r="E12" s="25" t="n">
        <v>3.2</v>
      </c>
      <c r="F12" s="25" t="n">
        <v>0.7</v>
      </c>
      <c r="G12" s="26" t="n">
        <v>95</v>
      </c>
      <c r="H12" s="15">
        <f>IF($B12="","",((IF('One order'!$B$14&gt;0,IFERROR(($B12+$C12)/(1+'One order'!$B$14),0),($B12+$C12)))-$D12-$E12-(IF('One order'!$B$14&gt;0,IFERROR($F12/(1+'One order'!$B$14),0),$F12)))-((($B12+$C12)*'One order'!$B$35+'One order'!$B$36)*(IF('One order'!$B$14&gt;0,1,1.2))))</f>
        <v/>
      </c>
      <c r="I12" s="15">
        <f>IF($B12="","",((IF('One order'!$B$14&gt;0,IFERROR(($B12+$C12)/(1+'One order'!$B$14),0),($B12+$C12)))-$D12-$E12-(IF('One order'!$B$14&gt;0,IFERROR($F12/(1+'One order'!$B$14),0),$F12)))-(('One order'!$B$27+($B12+$C12)*'One order'!$B$28+($B12+$C12)*'One order'!$B$29+'One order'!$B$30+($B12+$C12)*'One order'!$B$31)*(IF('One order'!$B$14&gt;0,1,1.2))))</f>
        <v/>
      </c>
      <c r="J12" s="15">
        <f>IF($B12="","",((IF('One order'!$B$14&gt;0,IFERROR(($B12+$C12)/(1+'One order'!$B$14),0),($B12+$C12)))-$D12-$E12-(IF('One order'!$B$14&gt;0,IFERROR($F12/(1+'One order'!$B$14),0),$F12)))-((($B12+$C12)*'One order'!$B$22+'One order'!$B$23+($B12+$C12)*'One order'!$B$24)*(IF('One order'!$B$14&gt;0,1,1.2))))</f>
        <v/>
      </c>
      <c r="K12" s="15">
        <f>IF($B12="","",((IF('One order'!$B$14&gt;0,IFERROR(($B12+$C12)/(1+'One order'!$B$14),0),($B12+$C12)))-$D12-$E12-(IF('One order'!$B$14&gt;0,IFERROR($F12/(1+'One order'!$B$14),0),$F12)))-((MAX($B12*'One order'!$B$17,0.25)+'One order'!$B$18)*(1+'One order'!$B$19)*(IF('One order'!$B$14&gt;0,1,1.2))))</f>
        <v/>
      </c>
      <c r="L12" s="27">
        <f>IF($B12="","",IFERROR(INDEX($H$6:$K$6,MATCH(MAX($H12,$I12,$J12,$K12),$H12:$K12,0)),""))</f>
        <v/>
      </c>
      <c r="M12" s="15">
        <f>IF($B12="","",MAX($H12,$I12,$J12,$K12))</f>
        <v/>
      </c>
    </row>
    <row r="13">
      <c r="A13" s="24" t="inlineStr">
        <is>
          <t>Screen-printed tote</t>
        </is>
      </c>
      <c r="B13" s="25" t="n">
        <v>22</v>
      </c>
      <c r="C13" s="25" t="n">
        <v>3.2</v>
      </c>
      <c r="D13" s="25" t="n">
        <v>6.9</v>
      </c>
      <c r="E13" s="25" t="n">
        <v>2.85</v>
      </c>
      <c r="F13" s="25" t="n">
        <v>0.35</v>
      </c>
      <c r="G13" s="26" t="n">
        <v>110</v>
      </c>
      <c r="H13" s="15">
        <f>IF($B13="","",((IF('One order'!$B$14&gt;0,IFERROR(($B13+$C13)/(1+'One order'!$B$14),0),($B13+$C13)))-$D13-$E13-(IF('One order'!$B$14&gt;0,IFERROR($F13/(1+'One order'!$B$14),0),$F13)))-((($B13+$C13)*'One order'!$B$35+'One order'!$B$36)*(IF('One order'!$B$14&gt;0,1,1.2))))</f>
        <v/>
      </c>
      <c r="I13" s="15">
        <f>IF($B13="","",((IF('One order'!$B$14&gt;0,IFERROR(($B13+$C13)/(1+'One order'!$B$14),0),($B13+$C13)))-$D13-$E13-(IF('One order'!$B$14&gt;0,IFERROR($F13/(1+'One order'!$B$14),0),$F13)))-(('One order'!$B$27+($B13+$C13)*'One order'!$B$28+($B13+$C13)*'One order'!$B$29+'One order'!$B$30+($B13+$C13)*'One order'!$B$31)*(IF('One order'!$B$14&gt;0,1,1.2))))</f>
        <v/>
      </c>
      <c r="J13" s="15">
        <f>IF($B13="","",((IF('One order'!$B$14&gt;0,IFERROR(($B13+$C13)/(1+'One order'!$B$14),0),($B13+$C13)))-$D13-$E13-(IF('One order'!$B$14&gt;0,IFERROR($F13/(1+'One order'!$B$14),0),$F13)))-((($B13+$C13)*'One order'!$B$22+'One order'!$B$23+($B13+$C13)*'One order'!$B$24)*(IF('One order'!$B$14&gt;0,1,1.2))))</f>
        <v/>
      </c>
      <c r="K13" s="15">
        <f>IF($B13="","",((IF('One order'!$B$14&gt;0,IFERROR(($B13+$C13)/(1+'One order'!$B$14),0),($B13+$C13)))-$D13-$E13-(IF('One order'!$B$14&gt;0,IFERROR($F13/(1+'One order'!$B$14),0),$F13)))-((MAX($B13*'One order'!$B$17,0.25)+'One order'!$B$18)*(1+'One order'!$B$19)*(IF('One order'!$B$14&gt;0,1,1.2))))</f>
        <v/>
      </c>
      <c r="L13" s="27">
        <f>IF($B13="","",IFERROR(INDEX($H$6:$K$6,MATCH(MAX($H13,$I13,$J13,$K13),$H13:$K13,0)),""))</f>
        <v/>
      </c>
      <c r="M13" s="15">
        <f>IF($B13="","",MAX($H13,$I13,$J13,$K13))</f>
        <v/>
      </c>
    </row>
    <row r="14">
      <c r="A14" s="24" t="inlineStr">
        <is>
          <t>Botanical print, A3</t>
        </is>
      </c>
      <c r="B14" s="25" t="n">
        <v>24</v>
      </c>
      <c r="C14" s="25" t="n">
        <v>4.1</v>
      </c>
      <c r="D14" s="25" t="n">
        <v>5.4</v>
      </c>
      <c r="E14" s="25" t="n">
        <v>3.55</v>
      </c>
      <c r="F14" s="25" t="n">
        <v>0.95</v>
      </c>
      <c r="G14" s="26" t="n">
        <v>140</v>
      </c>
      <c r="H14" s="15">
        <f>IF($B14="","",((IF('One order'!$B$14&gt;0,IFERROR(($B14+$C14)/(1+'One order'!$B$14),0),($B14+$C14)))-$D14-$E14-(IF('One order'!$B$14&gt;0,IFERROR($F14/(1+'One order'!$B$14),0),$F14)))-((($B14+$C14)*'One order'!$B$35+'One order'!$B$36)*(IF('One order'!$B$14&gt;0,1,1.2))))</f>
        <v/>
      </c>
      <c r="I14" s="15">
        <f>IF($B14="","",((IF('One order'!$B$14&gt;0,IFERROR(($B14+$C14)/(1+'One order'!$B$14),0),($B14+$C14)))-$D14-$E14-(IF('One order'!$B$14&gt;0,IFERROR($F14/(1+'One order'!$B$14),0),$F14)))-(('One order'!$B$27+($B14+$C14)*'One order'!$B$28+($B14+$C14)*'One order'!$B$29+'One order'!$B$30+($B14+$C14)*'One order'!$B$31)*(IF('One order'!$B$14&gt;0,1,1.2))))</f>
        <v/>
      </c>
      <c r="J14" s="15">
        <f>IF($B14="","",((IF('One order'!$B$14&gt;0,IFERROR(($B14+$C14)/(1+'One order'!$B$14),0),($B14+$C14)))-$D14-$E14-(IF('One order'!$B$14&gt;0,IFERROR($F14/(1+'One order'!$B$14),0),$F14)))-((($B14+$C14)*'One order'!$B$22+'One order'!$B$23+($B14+$C14)*'One order'!$B$24)*(IF('One order'!$B$14&gt;0,1,1.2))))</f>
        <v/>
      </c>
      <c r="K14" s="15">
        <f>IF($B14="","",((IF('One order'!$B$14&gt;0,IFERROR(($B14+$C14)/(1+'One order'!$B$14),0),($B14+$C14)))-$D14-$E14-(IF('One order'!$B$14&gt;0,IFERROR($F14/(1+'One order'!$B$14),0),$F14)))-((MAX($B14*'One order'!$B$17,0.25)+'One order'!$B$18)*(1+'One order'!$B$19)*(IF('One order'!$B$14&gt;0,1,1.2))))</f>
        <v/>
      </c>
      <c r="L14" s="27">
        <f>IF($B14="","",IFERROR(INDEX($H$6:$K$6,MATCH(MAX($H14,$I14,$J14,$K14),$H14:$K14,0)),""))</f>
        <v/>
      </c>
      <c r="M14" s="15">
        <f>IF($B14="","",MAX($H14,$I14,$J14,$K14))</f>
        <v/>
      </c>
    </row>
    <row r="15">
      <c r="A15" s="24" t="inlineStr">
        <is>
          <t>Hand-thrown mug</t>
        </is>
      </c>
      <c r="B15" s="25" t="n">
        <v>28</v>
      </c>
      <c r="C15" s="25" t="n">
        <v>3.95</v>
      </c>
      <c r="D15" s="25" t="n">
        <v>7.2</v>
      </c>
      <c r="E15" s="25" t="n">
        <v>3.2</v>
      </c>
      <c r="F15" s="25" t="n">
        <v>0.55</v>
      </c>
      <c r="G15" s="26" t="n">
        <v>120</v>
      </c>
      <c r="H15" s="15">
        <f>IF($B15="","",((IF('One order'!$B$14&gt;0,IFERROR(($B15+$C15)/(1+'One order'!$B$14),0),($B15+$C15)))-$D15-$E15-(IF('One order'!$B$14&gt;0,IFERROR($F15/(1+'One order'!$B$14),0),$F15)))-((($B15+$C15)*'One order'!$B$35+'One order'!$B$36)*(IF('One order'!$B$14&gt;0,1,1.2))))</f>
        <v/>
      </c>
      <c r="I15" s="15">
        <f>IF($B15="","",((IF('One order'!$B$14&gt;0,IFERROR(($B15+$C15)/(1+'One order'!$B$14),0),($B15+$C15)))-$D15-$E15-(IF('One order'!$B$14&gt;0,IFERROR($F15/(1+'One order'!$B$14),0),$F15)))-(('One order'!$B$27+($B15+$C15)*'One order'!$B$28+($B15+$C15)*'One order'!$B$29+'One order'!$B$30+($B15+$C15)*'One order'!$B$31)*(IF('One order'!$B$14&gt;0,1,1.2))))</f>
        <v/>
      </c>
      <c r="J15" s="15">
        <f>IF($B15="","",((IF('One order'!$B$14&gt;0,IFERROR(($B15+$C15)/(1+'One order'!$B$14),0),($B15+$C15)))-$D15-$E15-(IF('One order'!$B$14&gt;0,IFERROR($F15/(1+'One order'!$B$14),0),$F15)))-((($B15+$C15)*'One order'!$B$22+'One order'!$B$23+($B15+$C15)*'One order'!$B$24)*(IF('One order'!$B$14&gt;0,1,1.2))))</f>
        <v/>
      </c>
      <c r="K15" s="15">
        <f>IF($B15="","",((IF('One order'!$B$14&gt;0,IFERROR(($B15+$C15)/(1+'One order'!$B$14),0),($B15+$C15)))-$D15-$E15-(IF('One order'!$B$14&gt;0,IFERROR($F15/(1+'One order'!$B$14),0),$F15)))-((MAX($B15*'One order'!$B$17,0.25)+'One order'!$B$18)*(1+'One order'!$B$19)*(IF('One order'!$B$14&gt;0,1,1.2))))</f>
        <v/>
      </c>
      <c r="L15" s="27">
        <f>IF($B15="","",IFERROR(INDEX($H$6:$K$6,MATCH(MAX($H15,$I15,$J15,$K15),$H15:$K15,0)),""))</f>
        <v/>
      </c>
      <c r="M15" s="15">
        <f>IF($B15="","",MAX($H15,$I15,$J15,$K15))</f>
        <v/>
      </c>
    </row>
    <row r="16">
      <c r="A16" s="24" t="inlineStr">
        <is>
          <t>Leather notebook</t>
        </is>
      </c>
      <c r="B16" s="25" t="n">
        <v>38</v>
      </c>
      <c r="C16" s="25" t="n">
        <v>3.2</v>
      </c>
      <c r="D16" s="25" t="n">
        <v>12.6</v>
      </c>
      <c r="E16" s="25" t="n">
        <v>2.85</v>
      </c>
      <c r="F16" s="25" t="n">
        <v>0.6</v>
      </c>
      <c r="G16" s="26" t="n">
        <v>45</v>
      </c>
      <c r="H16" s="15">
        <f>IF($B16="","",((IF('One order'!$B$14&gt;0,IFERROR(($B16+$C16)/(1+'One order'!$B$14),0),($B16+$C16)))-$D16-$E16-(IF('One order'!$B$14&gt;0,IFERROR($F16/(1+'One order'!$B$14),0),$F16)))-((($B16+$C16)*'One order'!$B$35+'One order'!$B$36)*(IF('One order'!$B$14&gt;0,1,1.2))))</f>
        <v/>
      </c>
      <c r="I16" s="15">
        <f>IF($B16="","",((IF('One order'!$B$14&gt;0,IFERROR(($B16+$C16)/(1+'One order'!$B$14),0),($B16+$C16)))-$D16-$E16-(IF('One order'!$B$14&gt;0,IFERROR($F16/(1+'One order'!$B$14),0),$F16)))-(('One order'!$B$27+($B16+$C16)*'One order'!$B$28+($B16+$C16)*'One order'!$B$29+'One order'!$B$30+($B16+$C16)*'One order'!$B$31)*(IF('One order'!$B$14&gt;0,1,1.2))))</f>
        <v/>
      </c>
      <c r="J16" s="15">
        <f>IF($B16="","",((IF('One order'!$B$14&gt;0,IFERROR(($B16+$C16)/(1+'One order'!$B$14),0),($B16+$C16)))-$D16-$E16-(IF('One order'!$B$14&gt;0,IFERROR($F16/(1+'One order'!$B$14),0),$F16)))-((($B16+$C16)*'One order'!$B$22+'One order'!$B$23+($B16+$C16)*'One order'!$B$24)*(IF('One order'!$B$14&gt;0,1,1.2))))</f>
        <v/>
      </c>
      <c r="K16" s="15">
        <f>IF($B16="","",((IF('One order'!$B$14&gt;0,IFERROR(($B16+$C16)/(1+'One order'!$B$14),0),($B16+$C16)))-$D16-$E16-(IF('One order'!$B$14&gt;0,IFERROR($F16/(1+'One order'!$B$14),0),$F16)))-((MAX($B16*'One order'!$B$17,0.25)+'One order'!$B$18)*(1+'One order'!$B$19)*(IF('One order'!$B$14&gt;0,1,1.2))))</f>
        <v/>
      </c>
      <c r="L16" s="27">
        <f>IF($B16="","",IFERROR(INDEX($H$6:$K$6,MATCH(MAX($H16,$I16,$J16,$K16),$H16:$K16,0)),""))</f>
        <v/>
      </c>
      <c r="M16" s="15">
        <f>IF($B16="","",MAX($H16,$I16,$J16,$K16))</f>
        <v/>
      </c>
    </row>
    <row r="17">
      <c r="A17" s="24" t="inlineStr">
        <is>
          <t>Ceramic planter</t>
        </is>
      </c>
      <c r="B17" s="25" t="n">
        <v>54</v>
      </c>
      <c r="C17" s="25" t="n">
        <v>7.4</v>
      </c>
      <c r="D17" s="25" t="n">
        <v>16.5</v>
      </c>
      <c r="E17" s="25" t="n">
        <v>6.8</v>
      </c>
      <c r="F17" s="25" t="n">
        <v>1.85</v>
      </c>
      <c r="G17" s="26" t="n">
        <v>30</v>
      </c>
      <c r="H17" s="15">
        <f>IF($B17="","",((IF('One order'!$B$14&gt;0,IFERROR(($B17+$C17)/(1+'One order'!$B$14),0),($B17+$C17)))-$D17-$E17-(IF('One order'!$B$14&gt;0,IFERROR($F17/(1+'One order'!$B$14),0),$F17)))-((($B17+$C17)*'One order'!$B$35+'One order'!$B$36)*(IF('One order'!$B$14&gt;0,1,1.2))))</f>
        <v/>
      </c>
      <c r="I17" s="15">
        <f>IF($B17="","",((IF('One order'!$B$14&gt;0,IFERROR(($B17+$C17)/(1+'One order'!$B$14),0),($B17+$C17)))-$D17-$E17-(IF('One order'!$B$14&gt;0,IFERROR($F17/(1+'One order'!$B$14),0),$F17)))-(('One order'!$B$27+($B17+$C17)*'One order'!$B$28+($B17+$C17)*'One order'!$B$29+'One order'!$B$30+($B17+$C17)*'One order'!$B$31)*(IF('One order'!$B$14&gt;0,1,1.2))))</f>
        <v/>
      </c>
      <c r="J17" s="15">
        <f>IF($B17="","",((IF('One order'!$B$14&gt;0,IFERROR(($B17+$C17)/(1+'One order'!$B$14),0),($B17+$C17)))-$D17-$E17-(IF('One order'!$B$14&gt;0,IFERROR($F17/(1+'One order'!$B$14),0),$F17)))-((($B17+$C17)*'One order'!$B$22+'One order'!$B$23+($B17+$C17)*'One order'!$B$24)*(IF('One order'!$B$14&gt;0,1,1.2))))</f>
        <v/>
      </c>
      <c r="K17" s="15">
        <f>IF($B17="","",((IF('One order'!$B$14&gt;0,IFERROR(($B17+$C17)/(1+'One order'!$B$14),0),($B17+$C17)))-$D17-$E17-(IF('One order'!$B$14&gt;0,IFERROR($F17/(1+'One order'!$B$14),0),$F17)))-((MAX($B17*'One order'!$B$17,0.25)+'One order'!$B$18)*(1+'One order'!$B$19)*(IF('One order'!$B$14&gt;0,1,1.2))))</f>
        <v/>
      </c>
      <c r="L17" s="27">
        <f>IF($B17="","",IFERROR(INDEX($H$6:$K$6,MATCH(MAX($H17,$I17,$J17,$K17),$H17:$K17,0)),""))</f>
        <v/>
      </c>
      <c r="M17" s="15">
        <f>IF($B17="","",MAX($H17,$I17,$J17,$K17))</f>
        <v/>
      </c>
    </row>
    <row r="18">
      <c r="A18" s="24" t="inlineStr">
        <is>
          <t>Stoneware bowl set</t>
        </is>
      </c>
      <c r="B18" s="25" t="n">
        <v>88</v>
      </c>
      <c r="C18" s="25" t="n">
        <v>6.95</v>
      </c>
      <c r="D18" s="25" t="n">
        <v>29</v>
      </c>
      <c r="E18" s="25" t="n">
        <v>6.1</v>
      </c>
      <c r="F18" s="25" t="n">
        <v>2.1</v>
      </c>
      <c r="G18" s="26" t="n">
        <v>18</v>
      </c>
      <c r="H18" s="15">
        <f>IF($B18="","",((IF('One order'!$B$14&gt;0,IFERROR(($B18+$C18)/(1+'One order'!$B$14),0),($B18+$C18)))-$D18-$E18-(IF('One order'!$B$14&gt;0,IFERROR($F18/(1+'One order'!$B$14),0),$F18)))-((($B18+$C18)*'One order'!$B$35+'One order'!$B$36)*(IF('One order'!$B$14&gt;0,1,1.2))))</f>
        <v/>
      </c>
      <c r="I18" s="15">
        <f>IF($B18="","",((IF('One order'!$B$14&gt;0,IFERROR(($B18+$C18)/(1+'One order'!$B$14),0),($B18+$C18)))-$D18-$E18-(IF('One order'!$B$14&gt;0,IFERROR($F18/(1+'One order'!$B$14),0),$F18)))-(('One order'!$B$27+($B18+$C18)*'One order'!$B$28+($B18+$C18)*'One order'!$B$29+'One order'!$B$30+($B18+$C18)*'One order'!$B$31)*(IF('One order'!$B$14&gt;0,1,1.2))))</f>
        <v/>
      </c>
      <c r="J18" s="15">
        <f>IF($B18="","",((IF('One order'!$B$14&gt;0,IFERROR(($B18+$C18)/(1+'One order'!$B$14),0),($B18+$C18)))-$D18-$E18-(IF('One order'!$B$14&gt;0,IFERROR($F18/(1+'One order'!$B$14),0),$F18)))-((($B18+$C18)*'One order'!$B$22+'One order'!$B$23+($B18+$C18)*'One order'!$B$24)*(IF('One order'!$B$14&gt;0,1,1.2))))</f>
        <v/>
      </c>
      <c r="K18" s="15">
        <f>IF($B18="","",((IF('One order'!$B$14&gt;0,IFERROR(($B18+$C18)/(1+'One order'!$B$14),0),($B18+$C18)))-$D18-$E18-(IF('One order'!$B$14&gt;0,IFERROR($F18/(1+'One order'!$B$14),0),$F18)))-((MAX($B18*'One order'!$B$17,0.25)+'One order'!$B$18)*(1+'One order'!$B$19)*(IF('One order'!$B$14&gt;0,1,1.2))))</f>
        <v/>
      </c>
      <c r="L18" s="27">
        <f>IF($B18="","",IFERROR(INDEX($H$6:$K$6,MATCH(MAX($H18,$I18,$J18,$K18),$H18:$K18,0)),""))</f>
        <v/>
      </c>
      <c r="M18" s="15">
        <f>IF($B18="","",MAX($H18,$I18,$J18,$K18))</f>
        <v/>
      </c>
    </row>
    <row r="19">
      <c r="A19" s="24" t="inlineStr">
        <is>
          <t>Wool blanket, woven</t>
        </is>
      </c>
      <c r="B19" s="25" t="n">
        <v>145</v>
      </c>
      <c r="C19" s="25" t="n">
        <v>6.95</v>
      </c>
      <c r="D19" s="25" t="n">
        <v>52</v>
      </c>
      <c r="E19" s="25" t="n">
        <v>6.1</v>
      </c>
      <c r="F19" s="25" t="n">
        <v>1.6</v>
      </c>
      <c r="G19" s="26" t="n">
        <v>9</v>
      </c>
      <c r="H19" s="15">
        <f>IF($B19="","",((IF('One order'!$B$14&gt;0,IFERROR(($B19+$C19)/(1+'One order'!$B$14),0),($B19+$C19)))-$D19-$E19-(IF('One order'!$B$14&gt;0,IFERROR($F19/(1+'One order'!$B$14),0),$F19)))-((($B19+$C19)*'One order'!$B$35+'One order'!$B$36)*(IF('One order'!$B$14&gt;0,1,1.2))))</f>
        <v/>
      </c>
      <c r="I19" s="15">
        <f>IF($B19="","",((IF('One order'!$B$14&gt;0,IFERROR(($B19+$C19)/(1+'One order'!$B$14),0),($B19+$C19)))-$D19-$E19-(IF('One order'!$B$14&gt;0,IFERROR($F19/(1+'One order'!$B$14),0),$F19)))-(('One order'!$B$27+($B19+$C19)*'One order'!$B$28+($B19+$C19)*'One order'!$B$29+'One order'!$B$30+($B19+$C19)*'One order'!$B$31)*(IF('One order'!$B$14&gt;0,1,1.2))))</f>
        <v/>
      </c>
      <c r="J19" s="15">
        <f>IF($B19="","",((IF('One order'!$B$14&gt;0,IFERROR(($B19+$C19)/(1+'One order'!$B$14),0),($B19+$C19)))-$D19-$E19-(IF('One order'!$B$14&gt;0,IFERROR($F19/(1+'One order'!$B$14),0),$F19)))-((($B19+$C19)*'One order'!$B$22+'One order'!$B$23+($B19+$C19)*'One order'!$B$24)*(IF('One order'!$B$14&gt;0,1,1.2))))</f>
        <v/>
      </c>
      <c r="K19" s="15">
        <f>IF($B19="","",((IF('One order'!$B$14&gt;0,IFERROR(($B19+$C19)/(1+'One order'!$B$14),0),($B19+$C19)))-$D19-$E19-(IF('One order'!$B$14&gt;0,IFERROR($F19/(1+'One order'!$B$14),0),$F19)))-((MAX($B19*'One order'!$B$17,0.25)+'One order'!$B$18)*(1+'One order'!$B$19)*(IF('One order'!$B$14&gt;0,1,1.2))))</f>
        <v/>
      </c>
      <c r="L19" s="27">
        <f>IF($B19="","",IFERROR(INDEX($H$6:$K$6,MATCH(MAX($H19,$I19,$J19,$K19),$H19:$K19,0)),""))</f>
        <v/>
      </c>
      <c r="M19" s="15">
        <f>IF($B19="","",MAX($H19,$I19,$J19,$K19))</f>
        <v/>
      </c>
    </row>
    <row r="21" ht="19" customHeight="1">
      <c r="A21" s="6" t="inlineStr">
        <is>
          <t xml:space="preserve">  Across the range</t>
        </is>
      </c>
      <c r="B21" s="7" t="n"/>
      <c r="C21" s="7" t="n"/>
      <c r="D21" s="7" t="n"/>
      <c r="E21" s="7" t="n"/>
      <c r="F21" s="7" t="n"/>
      <c r="G21" s="7" t="n"/>
      <c r="H21" s="7" t="n"/>
      <c r="I21" s="7" t="n"/>
      <c r="J21" s="7" t="n"/>
      <c r="K21" s="7" t="n"/>
      <c r="L21" s="7" t="n"/>
      <c r="M21" s="7" t="n"/>
    </row>
    <row r="22">
      <c r="A22" s="8" t="inlineStr">
        <is>
          <t>Everything on Your own site less the subscription</t>
        </is>
      </c>
      <c r="B22" s="17">
        <f>($H8*$G8+$H9*$G9+$H10*$G10+$H11*$G11+$H12*$G12+$H13*$G13+$H14*$G14+$H15*$G15+$H16*$G16+$H17*$G17+$H18*$G18+$H19*$G19)-'One order'!$B$34</f>
        <v/>
      </c>
    </row>
    <row r="23">
      <c r="A23" s="8" t="inlineStr">
        <is>
          <t>Everything on Etsy</t>
        </is>
      </c>
      <c r="B23" s="17">
        <f>$I8*$G8+$I9*$G9+$I10*$G10+$I11*$G11+$I12*$G12+$I13*$G13+$I14*$G14+$I15*$G15+$I16*$G16+$I17*$G17+$I18*$G18+$I19*$G19</f>
        <v/>
      </c>
    </row>
    <row r="24">
      <c r="A24" s="8" t="inlineStr">
        <is>
          <t>Everything on eBay</t>
        </is>
      </c>
      <c r="B24" s="17">
        <f>$J8*$G8+$J9*$G9+$J10*$G10+$J11*$G11+$J12*$G12+$J13*$G13+$J14*$G14+$J15*$G15+$J16*$G16+$J17*$G17+$J18*$G18+$J19*$G19</f>
        <v/>
      </c>
    </row>
    <row r="25">
      <c r="A25" s="8" t="inlineStr">
        <is>
          <t>Everything on Amazon FBA</t>
        </is>
      </c>
      <c r="B25" s="17">
        <f>$K8*$G8+$K9*$G9+$K10*$G10+$K11*$G11+$K12*$G12+$K13*$G13+$K14*$G14+$K15*$G15+$K16*$G16+$K17*$G17+$K18*$G18+$K19*$G19</f>
        <v/>
      </c>
    </row>
    <row r="27">
      <c r="A27" s="8" t="inlineStr">
        <is>
          <t>Products where your own site wins</t>
        </is>
      </c>
      <c r="B27" s="28">
        <f>COUNTIF($L$8:$L$19,"Own site")</f>
        <v/>
      </c>
      <c r="C27" s="10" t="inlineStr">
        <is>
          <t>Before any cost of finding the customer.</t>
        </is>
      </c>
    </row>
    <row r="28">
      <c r="A28" s="8" t="inlineStr">
        <is>
          <t>Products where a marketplace wins</t>
        </is>
      </c>
      <c r="B28" s="28">
        <f>COUNTA($L$8:$L$19)-COUNTIF($L$8:$L$19,"Own site")</f>
        <v/>
      </c>
    </row>
    <row r="30">
      <c r="A30" s="22" t="inlineStr">
        <is>
          <t>The best channel is rarely the same for a £4 sticker and a £145 blanket, because a flat fee is a fifth of one and a rounding error on the other.</t>
        </is>
      </c>
    </row>
  </sheetData>
  <conditionalFormatting sqref="H8:H19">
    <cfRule type="cellIs" priority="1" operator="lessThan" dxfId="2">
      <formula>0</formula>
    </cfRule>
  </conditionalFormatting>
  <conditionalFormatting sqref="I8:I19">
    <cfRule type="cellIs" priority="2" operator="lessThan" dxfId="2">
      <formula>0</formula>
    </cfRule>
  </conditionalFormatting>
  <conditionalFormatting sqref="J8:J19">
    <cfRule type="cellIs" priority="3" operator="lessThan" dxfId="2">
      <formula>0</formula>
    </cfRule>
  </conditionalFormatting>
  <conditionalFormatting sqref="K8:K19">
    <cfRule type="cellIs" priority="4" operator="lessThan" dxfId="2">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2026-08-10T13:40:33Z</dcterms:created>
  <dcterms:modified xmlns:dcterms="http://purl.org/dc/terms/" xmlns:xsi="http://www.w3.org/2001/XMLSchema-instance" xsi:type="dcterms:W3CDTF">2026-08-10T13:40:33Z</dcterms:modified>
</cp:coreProperties>
</file>